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
    </mc:Choice>
  </mc:AlternateContent>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7" i="5" l="1"/>
  <c r="C7" i="5"/>
  <c r="B5" i="5"/>
  <c r="B6" i="5"/>
  <c r="B8" i="5"/>
  <c r="C5" i="5"/>
  <c r="C6" i="5"/>
  <c r="C8" i="5"/>
  <c r="C4" i="6"/>
  <c r="B43" i="6"/>
  <c r="B38" i="6"/>
  <c r="B28" i="6"/>
  <c r="G28" i="6" s="1"/>
  <c r="B33" i="6"/>
  <c r="G33" i="6" s="1"/>
  <c r="C12" i="6"/>
  <c r="C13" i="6"/>
  <c r="C7" i="6"/>
  <c r="C11" i="6"/>
  <c r="C10" i="6"/>
  <c r="C8"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F63" i="6"/>
  <c r="G21" i="6"/>
  <c r="H21" i="6" s="1"/>
  <c r="B26" i="6"/>
  <c r="G26" i="6" s="1"/>
  <c r="H26" i="6" s="1"/>
  <c r="C26" i="6" s="1"/>
  <c r="B36" i="6"/>
  <c r="B46" i="6"/>
  <c r="G46" i="6" s="1"/>
  <c r="G31" i="6"/>
  <c r="H22" i="6"/>
  <c r="D22" i="6" s="1"/>
  <c r="G47" i="6"/>
  <c r="G42" i="6"/>
  <c r="K65" i="6"/>
  <c r="G27" i="6"/>
  <c r="G32" i="6"/>
  <c r="G43" i="6"/>
  <c r="G38" i="6"/>
  <c r="G35"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36" i="6" l="1"/>
  <c r="C36" i="6" s="1"/>
  <c r="H41" i="6"/>
  <c r="F41" i="6"/>
  <c r="F50" i="6"/>
  <c r="F59" i="6" s="1"/>
  <c r="H59" i="6" s="1"/>
  <c r="H25" i="6"/>
  <c r="C25"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H31" i="6"/>
  <c r="D31" i="6" s="1"/>
  <c r="F46" i="6"/>
  <c r="H46" i="6" s="1"/>
  <c r="F31" i="6"/>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C27" i="6"/>
  <c r="D27" i="6"/>
  <c r="C61" i="6"/>
  <c r="D61" i="6"/>
  <c r="C37" i="6"/>
  <c r="D37" i="6"/>
  <c r="D47" i="6"/>
  <c r="C47" i="6"/>
  <c r="S466" i="5"/>
  <c r="T466" i="5"/>
  <c r="F56" i="6" l="1"/>
  <c r="H56" i="6" s="1"/>
  <c r="H50" i="6"/>
  <c r="F55" i="6"/>
  <c r="H55" i="6" s="1"/>
  <c r="D32" i="6"/>
  <c r="F51" i="6"/>
  <c r="F52" i="6" s="1"/>
  <c r="H52" i="6" s="1"/>
  <c r="F54" i="6"/>
  <c r="H54" i="6" s="1"/>
  <c r="C54" i="6" s="1"/>
  <c r="F53" i="6"/>
  <c r="H53" i="6" s="1"/>
  <c r="F58" i="6"/>
  <c r="H58" i="6" s="1"/>
  <c r="C58" i="6" s="1"/>
  <c r="F60" i="6"/>
  <c r="H60" i="6" s="1"/>
  <c r="C60" i="6" s="1"/>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C50" i="6"/>
  <c r="D50" i="6"/>
  <c r="D60" i="6"/>
  <c r="D59" i="6"/>
  <c r="C59" i="6"/>
  <c r="D55" i="6"/>
  <c r="C55" i="6"/>
  <c r="C53" i="6"/>
  <c r="D53" i="6"/>
  <c r="H51" i="6"/>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9" i="5"/>
  <c r="T10" i="5"/>
  <c r="T7" i="5"/>
  <c r="T6" i="5"/>
  <c r="T5" i="5"/>
  <c r="T8" i="5"/>
  <c r="H65" i="6" l="1"/>
  <c r="D65" i="6" s="1"/>
  <c r="C65" i="6"/>
  <c r="D54" i="6"/>
  <c r="D58"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11" i="5"/>
  <c r="S6" i="5"/>
  <c r="S8" i="5"/>
  <c r="S7"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<sst xmlns="http://schemas.openxmlformats.org/spreadsheetml/2006/main" count="21645" uniqueCount="15517">
  <si>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</si>
  <si>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</si>
  <si>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</si>
  <si>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</si>
  <si>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</si>
  <si>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</si>
  <si>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</si>
  <si>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</si>
  <si>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</si>
  <si>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</si>
  <si>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</si>
  <si>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</si>
  <si>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</si>
  <si>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</si>
  <si>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</si>
  <si>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</si>
  <si>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</si>
  <si>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</si>
  <si>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</si>
  <si>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</si>
  <si>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</si>
  <si>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</si>
  <si>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</si>
  <si>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</si>
  <si>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</si>
  <si>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</si>
  <si>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</si>
  <si>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</si>
  <si>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</si>
  <si>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</si>
  <si>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</si>
  <si>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</si>
  <si>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</si>
  <si>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</si>
  <si>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</si>
  <si>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</si>
  <si>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</si>
  <si>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</si>
  <si>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</si>
  <si>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</si>
  <si>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</si>
  <si>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</si>
  <si>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</si>
  <si>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</si>
  <si>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</si>
  <si>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</si>
  <si>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</si>
  <si>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</si>
  <si>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</si>
  <si>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</si>
  <si>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</si>
  <si>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</si>
  <si>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</si>
  <si>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</si>
  <si>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</si>
  <si>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</si>
  <si>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</si>
  <si>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</si>
  <si>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</si>
  <si>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</si>
  <si>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</si>
  <si>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</si>
  <si>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</si>
  <si>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</si>
  <si>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</si>
  <si>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</si>
  <si>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</si>
  <si>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</si>
  <si>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</si>
  <si>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</si>
  <si>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</si>
  <si>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</si>
  <si>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</si>
  <si>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</si>
  <si>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</si>
  <si>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</si>
  <si>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</si>
  <si>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</si>
  <si>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</si>
  <si>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</si>
  <si>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</si>
  <si>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</si>
  <si>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</si>
  <si>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</si>
  <si>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</si>
  <si>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</si>
  <si>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</si>
  <si>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</si>
  <si>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</si>
  <si>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</si>
  <si>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</si>
  <si>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</si>
  <si>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</si>
  <si>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</si>
  <si>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</si>
  <si>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</si>
  <si>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</si>
  <si>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</si>
  <si>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</si>
  <si>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</si>
  <si>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</si>
  <si>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</si>
  <si>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</si>
  <si>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</si>
  <si>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</si>
  <si>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</si>
  <si>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</si>
  <si>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</si>
  <si>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</si>
  <si>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</si>
  <si>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</si>
  <si>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</si>
  <si>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</si>
  <si>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</si>
  <si>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</si>
  <si>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</si>
  <si>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</si>
  <si>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</si>
  <si>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</si>
  <si>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</si>
  <si>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</si>
  <si>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</si>
  <si>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</si>
  <si>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</si>
  <si>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</si>
  <si>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</si>
  <si>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</si>
  <si>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</si>
  <si>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</si>
  <si>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</si>
  <si>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</si>
  <si>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</si>
  <si>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</si>
  <si>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</si>
  <si>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</si>
  <si>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</si>
  <si>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</si>
  <si>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</si>
  <si>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</si>
  <si>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</si>
  <si>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</si>
  <si>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</si>
  <si>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</si>
  <si>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</si>
  <si>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</si>
  <si>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</si>
  <si>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</si>
  <si>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</si>
  <si>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</si>
  <si>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</si>
  <si>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</si>
  <si>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</si>
  <si>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</si>
  <si>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</si>
  <si>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</si>
  <si>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</si>
  <si>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</si>
  <si>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</si>
  <si>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</si>
  <si>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</si>
  <si>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</si>
  <si>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</si>
  <si>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</si>
  <si>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</si>
  <si>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</si>
  <si>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</si>
  <si>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</si>
  <si>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</si>
  <si>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</si>
  <si>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</si>
  <si>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</si>
  <si>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</si>
  <si>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</si>
  <si>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</si>
  <si>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</si>
  <si>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</si>
  <si>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</si>
  <si>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</si>
  <si>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</si>
  <si>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</si>
  <si>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</si>
  <si>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</si>
  <si>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</si>
  <si>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</si>
  <si>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</si>
  <si>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</si>
  <si>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</si>
  <si>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</si>
  <si>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</si>
  <si>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</si>
  <si>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</si>
  <si>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</si>
  <si>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</si>
  <si>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</si>
  <si>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</si>
  <si>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</si>
  <si>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</si>
  <si>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</si>
  <si>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</si>
  <si>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</si>
  <si>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</si>
  <si>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</si>
  <si>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</si>
  <si>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</si>
  <si>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</si>
  <si>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</si>
  <si>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</si>
  <si>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</si>
  <si>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</si>
  <si>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</si>
  <si>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</si>
  <si>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</si>
  <si>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</si>
  <si>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</si>
  <si>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</si>
  <si>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</si>
  <si>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</si>
  <si>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</si>
  <si>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</si>
  <si>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</si>
  <si>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</si>
  <si>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</si>
  <si>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</si>
  <si>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</si>
  <si>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</si>
  <si>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</si>
  <si>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</si>
  <si>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</si>
  <si>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</si>
  <si>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</si>
  <si>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</si>
  <si>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</si>
  <si>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</si>
  <si>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</si>
  <si>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</si>
  <si>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</si>
  <si>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</si>
  <si>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</si>
  <si>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</si>
  <si>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</si>
  <si>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</si>
  <si>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</si>
  <si>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</si>
  <si>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</si>
  <si>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</si>
  <si>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</si>
  <si>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</si>
  <si>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</si>
  <si>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</si>
  <si>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</si>
  <si>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</si>
  <si>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</si>
  <si>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</si>
  <si>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</si>
  <si>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</si>
  <si>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</si>
  <si>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</si>
  <si>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</si>
  <si>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</si>
  <si>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</si>
  <si>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</si>
  <si>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</si>
  <si>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</si>
  <si>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</si>
  <si>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</si>
  <si>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</si>
  <si>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</si>
  <si>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</si>
  <si>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</si>
  <si>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</si>
  <si>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</si>
  <si>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</si>
  <si>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</si>
  <si>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</si>
  <si>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</si>
  <si>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</si>
  <si>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</si>
  <si>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</si>
  <si>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</si>
  <si>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</si>
  <si>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</si>
  <si>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</si>
  <si>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</si>
  <si>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</si>
  <si>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</si>
  <si>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</si>
  <si>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</si>
  <si>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</si>
  <si>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</si>
  <si>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</si>
  <si>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</si>
  <si>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</si>
  <si>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</si>
  <si>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</si>
  <si>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</si>
  <si>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</si>
  <si>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</si>
  <si>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</si>
  <si>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</si>
  <si>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</si>
  <si>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</si>
  <si>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</si>
  <si>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</si>
  <si>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</si>
  <si>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</si>
  <si>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</si>
  <si>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</si>
  <si>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</si>
  <si>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</si>
  <si>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</si>
  <si>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</si>
  <si>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</si>
  <si>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</si>
  <si>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</si>
  <si>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</si>
  <si>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</si>
  <si>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</si>
  <si>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</si>
  <si>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</si>
  <si>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</si>
  <si>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</si>
  <si>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</si>
  <si>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</si>
  <si>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</si>
  <si>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</si>
  <si>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</si>
  <si>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</si>
  <si>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</si>
  <si>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</si>
  <si>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</si>
  <si>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</si>
  <si>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</si>
  <si>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</si>
  <si>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</si>
  <si>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</si>
  <si>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</si>
  <si>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</si>
  <si>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</si>
  <si>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</si>
  <si>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</si>
  <si>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</si>
  <si>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</si>
  <si>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</si>
  <si>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</si>
  <si>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</si>
  <si>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</si>
  <si>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</si>
  <si>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</si>
  <si>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</si>
  <si>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</si>
  <si>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</si>
  <si>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</si>
  <si>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</si>
  <si>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</si>
  <si>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</si>
  <si>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</si>
  <si>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</si>
  <si>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</si>
  <si>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</si>
  <si>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</si>
  <si>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</si>
  <si>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</si>
  <si>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</si>
  <si>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</si>
  <si>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</si>
  <si>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</si>
  <si>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</si>
  <si>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</si>
  <si>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</si>
  <si>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</si>
  <si>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</si>
  <si>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</si>
  <si>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</si>
  <si>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</si>
  <si>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</si>
  <si>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</si>
  <si>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</si>
  <si>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</si>
  <si>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</si>
  <si>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</si>
  <si>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</si>
  <si>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</si>
  <si>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</si>
  <si>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</si>
  <si>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</si>
  <si>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</si>
  <si>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</si>
  <si>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</si>
  <si>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</si>
  <si>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</si>
  <si>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</si>
  <si>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</si>
  <si>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</si>
  <si>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</si>
  <si>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</si>
  <si>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</si>
  <si>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</si>
  <si>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</si>
  <si>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</si>
  <si>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</si>
  <si>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</si>
  <si>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</si>
  <si>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</si>
  <si>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</si>
  <si>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</si>
  <si>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</si>
  <si>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</si>
  <si>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</si>
  <si>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</si>
  <si>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</si>
  <si>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</si>
  <si>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</si>
  <si>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</si>
  <si>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</si>
  <si>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</si>
  <si>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</si>
  <si>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</si>
  <si>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</si>
  <si>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</si>
  <si>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</si>
  <si>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</si>
  <si>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</si>
  <si>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</si>
  <si>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</si>
  <si>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</si>
  <si>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</si>
  <si>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</si>
  <si>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</si>
  <si>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</si>
  <si>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</si>
  <si>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</si>
  <si>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</si>
  <si>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</si>
  <si>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</si>
  <si>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</si>
  <si>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</si>
  <si>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</si>
  <si>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</si>
  <si>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</si>
  <si>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</si>
  <si>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</si>
  <si>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</si>
  <si>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</si>
  <si>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</si>
  <si>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</si>
  <si>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</si>
  <si>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</si>
  <si>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</si>
  <si>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</si>
  <si>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</si>
  <si>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</si>
  <si>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</si>
  <si>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</si>
  <si>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</si>
  <si>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</si>
  <si>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</si>
  <si>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</si>
  <si>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</si>
  <si>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</si>
  <si>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</si>
  <si>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</si>
  <si>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</si>
  <si>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</si>
  <si>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</si>
  <si>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</si>
  <si>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</si>
  <si>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</si>
  <si>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</si>
  <si>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</si>
  <si>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</si>
  <si>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</si>
  <si>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</si>
  <si>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</si>
  <si>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</si>
  <si>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</si>
  <si>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</si>
  <si>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</si>
  <si>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</si>
  <si>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</si>
  <si>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</si>
  <si>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</si>
  <si>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</si>
  <si>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</si>
  <si>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</si>
  <si>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</si>
  <si>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</si>
  <si>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</si>
  <si>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</si>
  <si>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</si>
  <si>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</si>
  <si>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</si>
  <si>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</si>
  <si>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</si>
  <si>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</si>
  <si>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</si>
  <si>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</si>
  <si>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</si>
  <si>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</si>
  <si>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</si>
  <si>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</si>
  <si>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</si>
  <si>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</si>
  <si>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</si>
  <si>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</si>
  <si>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</si>
  <si>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</si>
  <si>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</si>
  <si>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</si>
  <si>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</si>
  <si>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</si>
  <si>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</si>
  <si>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</si>
  <si>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</si>
  <si>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</si>
  <si>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</si>
  <si>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</si>
  <si>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</si>
  <si>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</si>
  <si>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</si>
  <si>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</si>
  <si>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</si>
  <si>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</si>
  <si>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</si>
  <si>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</si>
  <si>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</si>
  <si>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</si>
  <si>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</si>
  <si>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</si>
  <si>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</si>
  <si>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</si>
  <si>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</si>
  <si>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</si>
  <si>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</si>
  <si>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</si>
  <si>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</si>
  <si>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</si>
  <si>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</si>
  <si>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</si>
  <si>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</si>
  <si>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</si>
  <si>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</si>
  <si>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</si>
  <si>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</si>
  <si>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</si>
  <si>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</si>
  <si>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</si>
  <si>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</si>
  <si>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</si>
  <si>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</si>
  <si>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</si>
  <si>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</si>
  <si>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</si>
  <si>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</si>
  <si>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</si>
  <si>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</si>
  <si>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</si>
  <si>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</si>
  <si>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</si>
  <si>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</si>
  <si>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</si>
  <si>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</si>
  <si>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</si>
  <si>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</si>
  <si>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</si>
  <si>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</si>
  <si>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</si>
  <si>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</si>
  <si>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</si>
  <si>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</si>
  <si>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</si>
  <si>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</si>
  <si>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</si>
  <si>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</si>
  <si>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</si>
  <si>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</si>
  <si>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</si>
  <si>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</si>
  <si>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</si>
  <si>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</si>
  <si>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</si>
  <si>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</si>
  <si>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</si>
  <si>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</si>
  <si>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</si>
  <si>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</si>
  <si>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</si>
  <si>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</si>
  <si>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</si>
  <si>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</si>
  <si>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</si>
  <si>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</si>
  <si>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</si>
  <si>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</si>
  <si>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</si>
  <si>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</si>
  <si>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</si>
  <si>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</si>
  <si>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</si>
  <si>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</si>
  <si>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</si>
  <si>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</si>
  <si>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</si>
  <si>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</si>
  <si>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</si>
  <si>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</si>
  <si>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</si>
  <si>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</si>
  <si>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</si>
  <si>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</si>
  <si>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</si>
  <si>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</si>
  <si>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</si>
  <si>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</si>
  <si>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</si>
  <si>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</si>
  <si>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</si>
  <si>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</si>
  <si>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</si>
  <si>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</si>
  <si>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</si>
  <si>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</si>
  <si>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</si>
  <si>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</si>
  <si>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</si>
  <si>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</si>
  <si>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</si>
  <si>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</si>
  <si>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</si>
  <si>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</si>
  <si>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</si>
  <si>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</si>
  <si>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</si>
  <si>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</si>
  <si>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</si>
  <si>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</si>
  <si>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</si>
  <si>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</si>
  <si>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</si>
  <si>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</si>
  <si>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</si>
  <si>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</si>
  <si>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</si>
  <si>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</si>
  <si>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</si>
  <si>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</si>
  <si>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</si>
  <si>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</si>
  <si>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</si>
  <si>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</si>
  <si>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</si>
  <si>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</si>
  <si>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</si>
  <si>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</si>
  <si>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</si>
  <si>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</si>
  <si>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</si>
  <si>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</si>
  <si>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</si>
  <si>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</si>
  <si>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</si>
  <si>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</si>
  <si>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</si>
  <si>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</si>
  <si>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</si>
  <si>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</si>
  <si>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</si>
  <si>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</si>
  <si>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</si>
  <si>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</si>
  <si>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</si>
  <si>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</si>
  <si>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</si>
  <si>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</si>
  <si>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</si>
  <si>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</si>
  <si>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</si>
  <si>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</si>
  <si>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</si>
  <si>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</si>
  <si>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</si>
  <si>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</si>
  <si>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</si>
  <si>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</si>
  <si>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</si>
  <si>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</si>
  <si>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</si>
  <si>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</si>
  <si>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</si>
  <si>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</si>
  <si>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</si>
  <si>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</si>
  <si>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</si>
  <si>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</si>
  <si>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</si>
  <si>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</si>
  <si>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</si>
  <si>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</si>
  <si>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</si>
  <si>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</si>
  <si>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</si>
  <si>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</si>
  <si>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</si>
  <si>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</si>
  <si>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</si>
  <si>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</si>
  <si>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</si>
  <si>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</si>
  <si>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</si>
  <si>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</si>
  <si>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</si>
  <si>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</si>
  <si>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</si>
  <si>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</si>
  <si>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</si>
  <si>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</si>
  <si>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</si>
  <si>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</si>
  <si>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</si>
  <si>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</si>
  <si>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</si>
  <si>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</si>
  <si>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</si>
  <si>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</si>
  <si>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</si>
  <si>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</si>
  <si>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</si>
  <si>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</si>
  <si>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</si>
  <si>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</si>
  <si>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</si>
  <si>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</si>
  <si>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</si>
  <si>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</si>
  <si>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</si>
  <si>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</si>
  <si>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</si>
  <si>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</si>
  <si>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</si>
  <si>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</si>
  <si>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</si>
  <si>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</si>
  <si>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</si>
  <si>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</si>
  <si>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</si>
  <si>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</si>
  <si>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</si>
  <si>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</si>
  <si>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</si>
  <si>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</si>
  <si>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</si>
  <si>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</si>
  <si>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</si>
  <si>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</si>
  <si>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</si>
  <si>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</si>
  <si>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</si>
  <si>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</si>
  <si>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</si>
  <si>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</si>
  <si>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</si>
  <si>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</si>
  <si>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</si>
  <si>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</si>
  <si>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</si>
  <si>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</si>
  <si>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</si>
  <si>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</si>
  <si>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</si>
  <si>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</si>
  <si>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</si>
  <si>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</si>
  <si>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</si>
  <si>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</si>
  <si>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</si>
  <si>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</si>
  <si>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</si>
  <si>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</si>
  <si>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</si>
  <si>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</si>
  <si>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</si>
  <si>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</si>
  <si>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</si>
  <si>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</si>
  <si>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</si>
  <si>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</si>
  <si>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</si>
  <si>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</si>
  <si>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</si>
  <si>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</si>
  <si>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</si>
  <si>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</si>
  <si>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</si>
  <si>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</si>
  <si>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</si>
  <si>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</si>
  <si>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</si>
  <si>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</si>
  <si>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</si>
  <si>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</si>
  <si>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</si>
  <si>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</si>
  <si>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</si>
  <si>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</si>
  <si>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</si>
  <si>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</si>
  <si>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</si>
  <si>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</si>
  <si>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</si>
  <si>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</si>
  <si>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</si>
  <si>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</si>
  <si>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</si>
  <si>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</si>
  <si>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</si>
  <si>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</si>
  <si>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</si>
  <si>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</si>
  <si>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</si>
  <si>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</si>
  <si>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</si>
  <si>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</si>
  <si>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</si>
  <si>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</si>
  <si>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</si>
  <si>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</si>
  <si>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</si>
  <si>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</si>
  <si>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</si>
  <si>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</si>
  <si>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</si>
  <si>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</si>
  <si>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</si>
  <si>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</si>
  <si>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</si>
  <si>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</si>
  <si>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</si>
  <si>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</si>
  <si>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</si>
  <si>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</si>
  <si>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</si>
  <si>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</si>
  <si>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</si>
  <si>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</si>
  <si>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</si>
  <si>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</si>
  <si>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</si>
  <si>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</si>
  <si>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</si>
  <si>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</si>
  <si>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</si>
  <si>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</si>
  <si>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</si>
  <si>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</si>
  <si>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</si>
  <si>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</si>
  <si>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</si>
  <si>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</si>
  <si>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</si>
  <si>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</si>
  <si>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</si>
  <si>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</si>
  <si>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</si>
  <si>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</si>
  <si>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</si>
  <si>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</si>
  <si>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</si>
  <si>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</si>
  <si>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</si>
  <si>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</si>
  <si>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</si>
  <si>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</si>
  <si>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</si>
  <si>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</si>
  <si>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</si>
  <si>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</si>
  <si>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</si>
  <si>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</si>
  <si>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</si>
  <si>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</si>
  <si>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</si>
  <si>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</si>
  <si>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</si>
  <si>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</si>
  <si>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</si>
  <si>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</si>
  <si>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</si>
  <si>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</si>
  <si>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</si>
  <si>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</si>
  <si>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</si>
  <si>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</si>
  <si>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</si>
  <si>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</si>
  <si>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</si>
  <si>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</si>
  <si>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</si>
  <si>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</si>
  <si>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</si>
  <si>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</si>
  <si>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</si>
  <si>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</si>
  <si>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</si>
  <si>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</si>
  <si>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</si>
  <si>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</si>
  <si>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</si>
  <si>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</si>
  <si>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</si>
  <si>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</si>
  <si>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</si>
  <si>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</si>
  <si>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</si>
  <si>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</si>
  <si>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</si>
  <si>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</si>
  <si>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</si>
  <si>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</si>
  <si>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</si>
  <si>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</si>
  <si>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</si>
  <si>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</si>
  <si>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</si>
  <si>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</si>
  <si>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</si>
  <si>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</si>
  <si>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</si>
  <si>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</si>
  <si>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</si>
  <si>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</si>
  <si>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</si>
  <si>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</si>
  <si>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</si>
  <si>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</si>
  <si>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</si>
  <si>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</si>
  <si>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</si>
  <si>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</si>
  <si>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</si>
  <si>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</si>
  <si>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</si>
  <si>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</si>
  <si>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</si>
  <si>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</si>
  <si>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</si>
  <si>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</si>
  <si>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</si>
  <si>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</si>
  <si>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</si>
  <si>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</si>
  <si>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</si>
  <si>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</si>
  <si>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</si>
  <si>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</si>
  <si>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</si>
  <si>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</si>
  <si>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</si>
  <si>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</si>
  <si>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</si>
  <si>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</si>
  <si>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</si>
  <si>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</si>
  <si>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</si>
  <si>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</si>
  <si>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</si>
  <si>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</si>
  <si>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</si>
  <si>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</si>
  <si>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</si>
  <si>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</si>
  <si>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</si>
  <si>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</si>
  <si>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</si>
  <si>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</si>
  <si>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</si>
  <si>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</si>
  <si>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</si>
  <si>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</si>
  <si>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</si>
  <si>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</si>
  <si>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</si>
  <si>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</si>
  <si>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</si>
  <si>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</si>
  <si>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</si>
  <si>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</si>
  <si>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</si>
  <si>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</si>
  <si>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</si>
  <si>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</si>
  <si>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</si>
  <si>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</si>
  <si>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</si>
  <si>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</si>
  <si>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</si>
  <si>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</si>
  <si>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</si>
  <si>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</si>
  <si>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</si>
  <si>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</si>
  <si>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</si>
  <si>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</si>
  <si>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</si>
  <si>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</si>
  <si>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</si>
  <si>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</si>
  <si>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</si>
  <si>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</si>
  <si>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</si>
  <si>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</si>
  <si>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</si>
  <si>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</si>
  <si>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</si>
  <si>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</si>
  <si>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</si>
  <si>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</si>
  <si>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</si>
  <si>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</si>
  <si>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</si>
  <si>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</si>
  <si>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</si>
  <si>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</si>
  <si>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</si>
  <si>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</si>
  <si>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</si>
  <si>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</si>
  <si>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</si>
  <si>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</si>
  <si>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</si>
  <si>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</si>
  <si>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</si>
  <si>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</si>
  <si>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</si>
  <si>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</si>
  <si>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</si>
  <si>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</si>
  <si>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</si>
  <si>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</si>
  <si>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</si>
  <si>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</si>
  <si>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</si>
  <si>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</si>
  <si>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</si>
  <si>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</si>
  <si>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</si>
  <si>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</si>
  <si>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</si>
  <si>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</si>
  <si>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</si>
  <si>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</si>
  <si>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</si>
  <si>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</si>
  <si>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</si>
  <si>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</si>
  <si>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</si>
  <si>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</si>
  <si>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</si>
  <si>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</si>
  <si>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</si>
  <si>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</si>
  <si>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</si>
  <si>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</si>
  <si>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</si>
  <si>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</si>
  <si>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</si>
  <si>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</si>
  <si>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</si>
  <si>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</si>
  <si>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</si>
  <si>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</si>
  <si>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</si>
  <si>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</si>
  <si>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</si>
  <si>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</si>
  <si>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</si>
  <si>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</si>
  <si>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</si>
  <si>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</si>
  <si>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</si>
  <si>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</si>
  <si>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</si>
  <si>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</si>
  <si>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</si>
  <si>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</si>
  <si>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</si>
  <si>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</si>
  <si>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</si>
  <si>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</si>
  <si>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</si>
  <si>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</si>
  <si>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</si>
  <si>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</si>
  <si>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</si>
  <si>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</si>
  <si>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</si>
  <si>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</si>
  <si>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</si>
  <si>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</si>
  <si>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</si>
  <si>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</si>
  <si>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</si>
  <si>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</si>
  <si>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</si>
  <si>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</si>
  <si>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</si>
  <si>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</si>
  <si>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</si>
  <si>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</si>
  <si>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</si>
  <si>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</si>
  <si>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</si>
  <si>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</si>
  <si>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</si>
  <si>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</si>
  <si>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</si>
  <si>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</si>
  <si>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</si>
  <si>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</si>
  <si>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</si>
  <si>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</si>
  <si>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</si>
  <si>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</si>
  <si>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</si>
  <si>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</si>
  <si>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</si>
  <si>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</si>
  <si>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</si>
  <si>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</si>
  <si>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</si>
  <si>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</si>
  <si>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</si>
  <si>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</si>
  <si>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</si>
  <si>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</si>
  <si>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</si>
  <si>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</si>
  <si>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</si>
  <si>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</si>
  <si>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</si>
  <si>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</si>
  <si>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</si>
  <si>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</si>
  <si>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</si>
  <si>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</si>
  <si>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</si>
  <si>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</si>
  <si>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</si>
  <si>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</si>
  <si>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</si>
  <si>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</si>
  <si>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</si>
  <si>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</si>
  <si>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</si>
  <si>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</si>
  <si>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</si>
  <si>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</si>
  <si>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</si>
  <si>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</si>
  <si>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</si>
  <si>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</si>
  <si>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</si>
  <si>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</si>
  <si>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</si>
  <si>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</si>
  <si>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</si>
  <si>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</si>
  <si>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</si>
  <si>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</si>
  <si>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</si>
  <si>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</si>
  <si>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</si>
  <si>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</si>
  <si>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</si>
  <si>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</si>
  <si>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</si>
  <si>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</si>
  <si>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</si>
  <si>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</si>
  <si>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</si>
  <si>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</si>
  <si>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</si>
  <si>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</si>
  <si>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</si>
  <si>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</si>
  <si>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</si>
  <si>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</si>
  <si>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</si>
  <si>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</si>
  <si>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</si>
  <si>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</si>
  <si>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</si>
  <si>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</si>
  <si>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</si>
  <si>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</si>
  <si>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</si>
  <si>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</si>
  <si>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</si>
  <si>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</si>
  <si>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</si>
  <si>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</si>
  <si>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</si>
  <si>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</si>
  <si>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</si>
  <si>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</si>
  <si>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</si>
  <si>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</si>
  <si>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</si>
  <si>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</si>
  <si>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</si>
  <si>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</si>
  <si>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</si>
  <si>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</si>
  <si>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</si>
  <si>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</si>
  <si>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</si>
  <si>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</si>
  <si>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</si>
  <si>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</si>
  <si>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</si>
  <si>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</si>
  <si>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</si>
  <si>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</si>
  <si>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</si>
  <si>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</si>
  <si>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</si>
  <si>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</si>
  <si>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</si>
  <si>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</si>
  <si>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</si>
  <si>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</si>
  <si>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</si>
  <si>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</si>
  <si>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</si>
  <si>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</si>
  <si>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</si>
  <si>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</si>
  <si>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</si>
  <si>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</si>
  <si>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</si>
  <si>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</si>
  <si>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</si>
  <si>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</si>
  <si>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</si>
  <si>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</si>
  <si>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</si>
  <si>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</si>
  <si>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</si>
  <si>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</si>
  <si>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</si>
  <si>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</si>
  <si>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</si>
  <si>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</si>
  <si>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</si>
  <si>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</si>
  <si>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</si>
  <si>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</si>
  <si>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</si>
  <si>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</si>
  <si>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</si>
  <si>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</si>
  <si>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</si>
  <si>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</si>
  <si>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</si>
  <si>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</si>
  <si>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</si>
  <si>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</si>
  <si>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</si>
  <si>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</si>
  <si>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</si>
  <si>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</si>
  <si>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</si>
  <si>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</si>
  <si>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</si>
  <si>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</si>
  <si>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</si>
  <si>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</si>
  <si>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</si>
  <si>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</si>
  <si>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</si>
  <si>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</si>
  <si>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</si>
  <si>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</si>
  <si>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</si>
  <si>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</si>
  <si>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</si>
  <si>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</si>
  <si>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</si>
  <si>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</si>
  <si>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</si>
  <si>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</si>
  <si>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</si>
  <si>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</si>
  <si>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</si>
  <si>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</si>
  <si>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</si>
  <si>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</si>
  <si>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</si>
  <si>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</si>
  <si>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</si>
  <si>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</si>
  <si>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</si>
  <si>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</si>
  <si>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</si>
  <si>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</si>
  <si>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</si>
  <si>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</si>
  <si>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</si>
  <si>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</si>
  <si>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</si>
  <si>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</si>
  <si>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</si>
  <si>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</si>
  <si>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</si>
  <si>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</si>
  <si>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</si>
  <si>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</si>
  <si>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</si>
  <si>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</si>
  <si>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</si>
  <si>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</si>
  <si>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</si>
  <si>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</si>
  <si>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</si>
  <si>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</si>
  <si>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</si>
  <si>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</si>
  <si>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</si>
  <si>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</si>
  <si>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</si>
  <si>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</si>
  <si>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</si>
  <si>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</si>
  <si>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</si>
  <si>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</si>
  <si>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</si>
  <si>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</si>
  <si>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</si>
  <si>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</si>
  <si>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</si>
  <si>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</si>
  <si>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</si>
  <si>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</si>
  <si>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</si>
  <si>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</si>
  <si>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</si>
  <si>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</si>
  <si>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</si>
  <si>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</si>
  <si>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</si>
  <si>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</si>
  <si>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</si>
  <si>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</si>
  <si>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</si>
  <si>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</si>
  <si>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</si>
  <si>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</si>
  <si>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</si>
  <si>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</si>
  <si>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</si>
  <si>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</si>
  <si>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</si>
  <si>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</si>
  <si>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</si>
  <si>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</si>
  <si>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</si>
  <si>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</si>
  <si>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</si>
  <si>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</si>
  <si>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</si>
  <si>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</si>
  <si>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</si>
  <si>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</si>
  <si>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</si>
  <si>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</si>
  <si>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</si>
  <si>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</si>
  <si>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</si>
  <si>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</si>
  <si>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</si>
  <si>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</si>
  <si>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</si>
  <si>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</si>
  <si>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</si>
  <si>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</si>
  <si>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</si>
  <si>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</si>
  <si>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</si>
  <si>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</si>
  <si>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</si>
  <si>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</si>
  <si>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</si>
  <si>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</si>
  <si>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</si>
  <si>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</si>
  <si>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</si>
  <si>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</si>
  <si>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</si>
  <si>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</si>
  <si>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</si>
  <si>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</si>
  <si>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</si>
  <si>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</si>
  <si>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</si>
  <si>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</si>
  <si>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</si>
  <si>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</si>
  <si>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</si>
  <si>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</si>
  <si>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</si>
  <si>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</si>
  <si>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</si>
  <si>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</si>
  <si>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</si>
  <si>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</si>
  <si>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</si>
  <si>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</si>
  <si>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</si>
  <si>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</si>
  <si>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</si>
  <si>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</si>
  <si>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</si>
  <si>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</si>
  <si>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</si>
  <si>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</si>
  <si>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</si>
  <si>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</si>
  <si>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</si>
  <si>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</si>
  <si>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</si>
  <si>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</si>
  <si>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</si>
  <si>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</si>
  <si>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</si>
  <si>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</si>
  <si>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</si>
  <si>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</si>
  <si>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</si>
  <si>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</si>
  <si>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</si>
  <si>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</si>
  <si>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</si>
  <si>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</si>
  <si>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</si>
  <si>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</si>
  <si>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</si>
  <si>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</si>
  <si>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</si>
  <si>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</si>
  <si>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</si>
  <si>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</si>
  <si>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</si>
  <si>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</si>
  <si>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</si>
  <si>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</si>
  <si>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</si>
  <si>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</si>
  <si>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</si>
  <si>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</si>
  <si>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</si>
  <si>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</si>
  <si>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</si>
  <si>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</si>
  <si>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</si>
  <si>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</si>
  <si>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</si>
  <si>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</si>
  <si>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</si>
  <si>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</si>
  <si>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</si>
  <si>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</si>
  <si>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</si>
  <si>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</si>
  <si>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</si>
  <si>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</si>
  <si>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</si>
  <si>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</si>
  <si>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</si>
  <si>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</si>
  <si>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</si>
  <si>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</si>
  <si>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</si>
  <si>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</si>
  <si>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</si>
  <si>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</si>
  <si>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</si>
  <si>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</si>
  <si>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</si>
  <si>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</si>
  <si>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</si>
  <si>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</si>
  <si>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</si>
  <si>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</si>
  <si>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</si>
  <si>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</si>
  <si>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</si>
  <si>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</si>
  <si>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</si>
  <si>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</si>
  <si>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</si>
  <si>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</si>
  <si>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</si>
  <si>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</si>
  <si>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</si>
  <si>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</si>
  <si>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</si>
  <si>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</si>
  <si>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</si>
  <si>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</si>
  <si>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</si>
  <si>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</si>
  <si>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</si>
  <si>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</si>
  <si>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</si>
  <si>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</si>
  <si>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</si>
  <si>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</si>
  <si>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</si>
  <si>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</si>
  <si>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</si>
  <si>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</si>
  <si>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</si>
  <si>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</si>
  <si>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</si>
  <si>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</si>
  <si>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</si>
  <si>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</si>
  <si>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</si>
  <si>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</si>
  <si>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</si>
  <si>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</si>
  <si>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</si>
  <si>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</si>
  <si>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</si>
  <si>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</si>
  <si>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</si>
  <si>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</si>
  <si>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</si>
  <si>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</si>
  <si>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</si>
  <si>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</si>
  <si>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</si>
  <si>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</si>
  <si>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</si>
  <si>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</si>
  <si>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</si>
  <si>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</si>
  <si>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</si>
  <si>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</si>
  <si>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</si>
  <si>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</si>
  <si>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</si>
  <si>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</si>
  <si>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</si>
  <si>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</si>
  <si>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</si>
  <si>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</si>
  <si>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</si>
  <si>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</si>
  <si>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</si>
  <si>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</si>
  <si>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</si>
  <si>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</si>
  <si>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</si>
  <si>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</si>
  <si>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</si>
  <si>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</si>
  <si>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</si>
  <si>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</si>
  <si>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</si>
  <si>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</si>
  <si>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</si>
  <si>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</si>
  <si>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</si>
  <si>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</si>
  <si>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</si>
  <si>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</si>
  <si>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</si>
  <si>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</si>
  <si>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</si>
  <si>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</si>
  <si>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</si>
  <si>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</si>
  <si>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</si>
  <si>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</si>
  <si>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</si>
  <si>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</si>
  <si>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</si>
  <si>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</si>
  <si>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</si>
  <si>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</si>
  <si>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</si>
  <si>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</si>
  <si>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</si>
  <si>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</si>
  <si>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</si>
  <si>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</si>
  <si>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</si>
  <si>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</si>
  <si>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</si>
  <si>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</si>
  <si>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</si>
  <si>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</si>
  <si>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</si>
  <si>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</si>
  <si>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</si>
  <si>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</si>
  <si>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</si>
  <si>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</si>
  <si>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</si>
  <si>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</si>
  <si>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</si>
  <si>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</si>
  <si>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</si>
  <si>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</si>
  <si>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</si>
  <si>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</si>
  <si>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</si>
  <si>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</si>
  <si>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</si>
  <si>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</si>
  <si>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</si>
  <si>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</si>
  <si>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</si>
  <si>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</si>
  <si>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</si>
  <si>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</si>
  <si>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</si>
  <si>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</si>
  <si>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</si>
  <si>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</si>
  <si>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</si>
  <si>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</si>
  <si>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</si>
  <si>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</si>
  <si>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</si>
  <si>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</si>
  <si>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</si>
  <si>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</si>
  <si>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</si>
  <si>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</si>
  <si>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</si>
  <si>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</si>
  <si>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</si>
  <si>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</si>
  <si>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</si>
  <si>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</si>
  <si>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</si>
  <si>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</si>
  <si>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</si>
  <si>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</si>
  <si>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</si>
  <si>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</si>
  <si>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</si>
  <si>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</si>
  <si>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</si>
  <si>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</si>
  <si>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</si>
  <si>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</si>
  <si>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</si>
  <si>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</si>
  <si>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</si>
  <si>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</si>
  <si>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</si>
  <si>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</si>
  <si>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</si>
  <si>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</si>
  <si>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</si>
  <si>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</si>
  <si>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</si>
  <si>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</si>
  <si>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</si>
  <si>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</si>
  <si>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</si>
  <si>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</si>
  <si>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</si>
  <si>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</si>
  <si>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</si>
  <si>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</si>
  <si>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</si>
  <si>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</si>
  <si>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</si>
  <si>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</si>
  <si>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</si>
  <si>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</si>
  <si>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</si>
  <si>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</si>
  <si>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</si>
  <si>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</si>
  <si>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</si>
  <si>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</si>
  <si>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</si>
  <si>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</si>
  <si>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</si>
  <si>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</si>
  <si>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</si>
  <si>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</si>
  <si>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</si>
  <si>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</si>
  <si>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</si>
  <si>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</si>
  <si>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</si>
  <si>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</si>
  <si>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</si>
  <si>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</si>
  <si>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</si>
  <si>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</si>
  <si>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</si>
  <si>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</si>
  <si>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</si>
  <si>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</si>
  <si>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</si>
  <si>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</si>
  <si>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</si>
  <si>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</si>
  <si>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</si>
  <si>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</si>
  <si>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</si>
  <si>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</si>
  <si>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</si>
  <si>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</si>
  <si>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</si>
  <si>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</si>
  <si>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</si>
  <si>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</si>
  <si>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</si>
  <si>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</si>
  <si>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</si>
  <si>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</si>
  <si>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</si>
  <si>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</si>
  <si>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</si>
  <si>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</si>
  <si>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</si>
  <si>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</si>
  <si>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</si>
  <si>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</si>
  <si>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</si>
  <si>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</si>
  <si>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</si>
  <si>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</si>
  <si>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</si>
  <si>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</si>
  <si>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</si>
  <si>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</si>
  <si>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</si>
  <si>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</si>
  <si>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</si>
  <si>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</si>
  <si>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</si>
  <si>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</si>
  <si>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</si>
  <si>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</si>
  <si>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</si>
  <si>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</si>
  <si>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</si>
  <si>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</si>
  <si>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</si>
  <si>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</si>
  <si>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</si>
  <si>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</si>
  <si>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</si>
  <si>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</si>
  <si>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</si>
  <si>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</si>
  <si>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</si>
  <si>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</si>
  <si>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</si>
  <si>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</si>
  <si>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</si>
  <si>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</si>
  <si>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</si>
  <si>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</si>
  <si>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</si>
  <si>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</si>
  <si>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</si>
  <si>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</si>
  <si>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</si>
  <si>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</si>
  <si>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</si>
  <si>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</si>
  <si>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</si>
  <si>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</si>
  <si>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</si>
  <si>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</si>
  <si>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</si>
  <si>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</si>
  <si>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</si>
  <si>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</si>
  <si>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</si>
  <si>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</si>
  <si>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</si>
  <si>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</si>
  <si>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</si>
  <si>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</si>
  <si>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</si>
  <si>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</si>
  <si>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</si>
  <si>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</si>
  <si>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</si>
  <si>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</si>
  <si>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</si>
  <si>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</si>
  <si>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</si>
  <si>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</si>
  <si>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</si>
  <si>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</si>
  <si>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</si>
  <si>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</si>
  <si>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</si>
  <si>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</si>
  <si>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</si>
  <si>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</si>
  <si>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</si>
  <si>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</si>
  <si>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</si>
  <si>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</si>
  <si>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</si>
  <si>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</si>
  <si>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</si>
  <si>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</si>
  <si>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</si>
  <si>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</si>
  <si>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</si>
  <si>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</si>
  <si>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</si>
  <si>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</si>
  <si>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</si>
  <si>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</si>
  <si>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</si>
  <si>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</si>
  <si>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</si>
  <si>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</si>
  <si>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</si>
  <si>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</si>
  <si>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</si>
  <si>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</si>
  <si>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</si>
  <si>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</si>
  <si>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</si>
  <si>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</si>
  <si>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</si>
  <si>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</si>
  <si>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</si>
  <si>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</si>
  <si>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</si>
  <si>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</si>
  <si>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</si>
  <si>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</si>
  <si>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</si>
  <si>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</si>
  <si>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</si>
  <si>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</si>
  <si>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</si>
  <si>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</si>
  <si>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</si>
  <si>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</si>
  <si>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</si>
  <si>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</si>
  <si>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</si>
  <si>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</si>
  <si>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</si>
  <si>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</si>
  <si>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</si>
  <si>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</si>
  <si>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</si>
  <si>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</si>
  <si>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</si>
  <si>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</si>
  <si>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</si>
  <si>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</si>
  <si>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</si>
  <si>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</si>
  <si>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</si>
  <si>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</si>
  <si>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</si>
  <si>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</si>
  <si>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</si>
  <si>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</si>
  <si>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</si>
  <si>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</si>
  <si>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</si>
  <si>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</si>
  <si>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</si>
  <si>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</si>
  <si>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</si>
  <si>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</si>
  <si>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</si>
  <si>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</si>
  <si>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</si>
  <si>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</si>
  <si>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</si>
  <si>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</si>
  <si>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</si>
  <si>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</si>
  <si>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</si>
  <si>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</si>
  <si>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</si>
  <si>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</si>
  <si>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</si>
  <si>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</si>
  <si>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</si>
  <si>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</si>
  <si>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</si>
  <si>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</si>
  <si>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</si>
  <si>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</si>
  <si>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</si>
  <si>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</si>
  <si>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</si>
  <si>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</si>
  <si>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</si>
  <si>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</si>
  <si>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</si>
  <si>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</si>
  <si>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</si>
  <si>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</si>
  <si>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</si>
  <si>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</si>
  <si>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</si>
  <si>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</si>
  <si>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</si>
  <si>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</si>
  <si>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</si>
  <si>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</si>
  <si>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</si>
  <si>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</si>
  <si>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</si>
  <si>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</si>
  <si>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</si>
  <si>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</si>
  <si>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</si>
  <si>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</si>
  <si>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</si>
  <si>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</si>
  <si>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</si>
  <si>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</si>
  <si>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</si>
  <si>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</si>
  <si>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</si>
  <si>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</si>
  <si>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</si>
  <si>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</si>
  <si>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</si>
  <si>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</si>
  <si>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</si>
  <si>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</si>
  <si>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</si>
  <si>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</si>
  <si>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</si>
  <si>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</si>
  <si>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</si>
  <si>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</si>
  <si>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</si>
  <si>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</si>
  <si>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</si>
  <si>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</si>
  <si>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</si>
  <si>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</si>
  <si>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</si>
  <si>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</si>
  <si>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</si>
  <si>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</si>
  <si>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</si>
  <si>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</si>
  <si>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</si>
  <si>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</si>
  <si>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</si>
  <si>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</si>
  <si>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</si>
  <si>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</si>
  <si>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</si>
  <si>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</si>
  <si>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</si>
  <si>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</si>
  <si>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</si>
  <si>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</si>
  <si>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</si>
  <si>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</si>
  <si>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</si>
  <si>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</si>
  <si>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</si>
  <si>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</si>
  <si>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</si>
  <si>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</si>
  <si>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</si>
  <si>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</si>
  <si>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</si>
  <si>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</si>
  <si>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</si>
  <si>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</si>
  <si>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</si>
  <si>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</si>
  <si>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</si>
  <si>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</si>
  <si>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</si>
  <si>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</si>
  <si>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</si>
  <si>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</si>
  <si>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</si>
  <si>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</si>
  <si>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</si>
  <si>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</si>
  <si>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</si>
  <si>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</si>
  <si>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</si>
  <si>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</si>
  <si>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</si>
  <si>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</si>
  <si>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</si>
  <si>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</si>
  <si>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</si>
  <si>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</si>
  <si>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</si>
  <si>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</si>
  <si>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</si>
  <si>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</si>
  <si>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</si>
  <si>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</si>
  <si>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</si>
  <si>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</si>
  <si>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</si>
  <si>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</si>
  <si>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</si>
  <si>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</si>
  <si>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</si>
  <si>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</si>
  <si>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</si>
  <si>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</si>
  <si>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</si>
  <si>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</si>
  <si>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</si>
  <si>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</si>
  <si>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</si>
  <si>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</si>
  <si>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</si>
  <si>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</si>
  <si>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</si>
  <si>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</si>
  <si>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</si>
  <si>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</si>
  <si>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</si>
  <si>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</si>
  <si>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</si>
  <si>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</si>
  <si>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</si>
  <si>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</si>
  <si>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</si>
  <si>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</si>
  <si>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</si>
  <si>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</si>
  <si>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</si>
  <si>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</si>
  <si>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</si>
  <si>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</si>
  <si>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</si>
  <si>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</si>
  <si>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</si>
  <si>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</si>
  <si>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</si>
  <si>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</si>
  <si>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</si>
  <si>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</si>
  <si>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</si>
  <si>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</si>
  <si>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</si>
  <si>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</si>
  <si>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</si>
  <si>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</si>
  <si>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</si>
  <si>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</si>
  <si>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</si>
  <si>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</si>
  <si>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</si>
  <si>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</si>
  <si>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</si>
  <si>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</si>
  <si>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</si>
  <si>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</si>
  <si>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</si>
  <si>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</si>
  <si>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</si>
  <si>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</si>
  <si>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</si>
  <si>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</si>
  <si>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</si>
  <si>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</si>
  <si>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</si>
  <si>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</si>
  <si>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</si>
  <si>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</si>
  <si>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</si>
  <si>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</si>
  <si>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</si>
  <si>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</si>
  <si>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</si>
  <si>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</si>
  <si>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</si>
  <si>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</si>
  <si>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</si>
  <si>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</si>
  <si>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</si>
  <si>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</si>
  <si>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</si>
  <si>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</si>
  <si>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</si>
  <si>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</si>
  <si>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</si>
  <si>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</si>
  <si>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</si>
  <si>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</si>
  <si>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</si>
  <si>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</si>
  <si>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</si>
  <si>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</si>
  <si>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</si>
  <si>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</si>
  <si>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</si>
  <si>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</si>
  <si>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</si>
  <si>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</si>
  <si>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</si>
  <si>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</si>
  <si>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</si>
  <si>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</si>
  <si>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</si>
  <si>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</si>
  <si>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</si>
  <si>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</si>
  <si>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</si>
  <si>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</si>
  <si>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</si>
  <si>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</si>
  <si>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</si>
  <si>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</si>
  <si>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</si>
  <si>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</si>
  <si>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</si>
  <si>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</si>
  <si>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</si>
  <si>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</si>
  <si>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</si>
  <si>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</si>
  <si>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</si>
  <si>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</si>
  <si>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</si>
  <si>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</si>
  <si>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</si>
  <si>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</si>
  <si>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</si>
  <si>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</si>
  <si>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</si>
  <si>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</si>
  <si>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</si>
  <si>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</si>
  <si>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</si>
  <si>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</si>
  <si>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</si>
  <si>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</si>
  <si>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</si>
  <si>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</si>
  <si>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</si>
  <si>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</si>
  <si>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</si>
  <si>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</si>
  <si>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</si>
  <si>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</si>
  <si>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</si>
  <si>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</si>
  <si>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</si>
  <si>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</si>
  <si>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</si>
  <si>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</si>
  <si>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</si>
  <si>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</si>
  <si>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</si>
  <si>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</si>
  <si>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</si>
  <si>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</si>
  <si>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</si>
  <si>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</si>
  <si>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</si>
  <si>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</si>
  <si>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</si>
  <si>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</si>
  <si>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</si>
  <si>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</si>
  <si>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</si>
  <si>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</si>
  <si>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</si>
  <si>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</si>
  <si>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</si>
  <si>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</si>
  <si>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</si>
  <si>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</si>
  <si>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</si>
  <si>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</si>
  <si>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</si>
  <si>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</si>
  <si>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</si>
  <si>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</si>
  <si>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</si>
  <si>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</si>
  <si>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</si>
  <si>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</si>
  <si>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</si>
  <si>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</si>
  <si>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</si>
  <si>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</si>
  <si>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</si>
  <si>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</si>
  <si>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</si>
  <si>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</si>
  <si>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</si>
  <si>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</si>
  <si>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</si>
  <si>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</si>
  <si>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</si>
  <si>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</si>
  <si>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</si>
  <si>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</si>
  <si>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</si>
  <si>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</si>
  <si>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</si>
  <si>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</si>
  <si>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</si>
  <si>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</si>
  <si>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</si>
  <si>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</si>
  <si>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</si>
  <si>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</si>
  <si>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</si>
  <si>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</si>
  <si>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</si>
  <si>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</si>
  <si>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</si>
  <si>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</si>
  <si>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</si>
  <si>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</si>
  <si>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</si>
  <si>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</si>
  <si>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</si>
  <si>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</si>
  <si>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</si>
  <si>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</si>
  <si>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</si>
  <si>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</si>
  <si>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</si>
  <si>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</si>
  <si>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</si>
  <si>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</si>
  <si>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</si>
  <si>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</si>
  <si>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</si>
  <si>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</si>
  <si>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</si>
  <si>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</si>
  <si>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</si>
  <si>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</si>
  <si>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</si>
  <si>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</si>
  <si>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</si>
  <si>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</si>
  <si>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</si>
  <si>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</si>
  <si>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</si>
  <si>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</si>
  <si>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</si>
  <si>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</si>
  <si>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</si>
  <si>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</si>
  <si>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</si>
  <si>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</si>
  <si>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</si>
  <si>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</si>
  <si>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</si>
  <si>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</si>
  <si>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</si>
  <si>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</si>
  <si>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</si>
  <si>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</si>
  <si>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</si>
  <si>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</si>
  <si>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</si>
  <si>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</si>
  <si>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</si>
  <si>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</si>
  <si>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</si>
  <si>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</si>
  <si>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</si>
  <si>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</si>
  <si>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</si>
  <si>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</si>
  <si>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</si>
  <si>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</si>
  <si>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</si>
  <si>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</si>
  <si>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</si>
  <si>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</si>
  <si>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</si>
  <si>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</si>
  <si>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</si>
  <si>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</si>
  <si>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</si>
  <si>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</si>
  <si>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</si>
  <si>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</si>
  <si>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</si>
  <si>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</si>
  <si>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</si>
  <si>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</si>
  <si>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</si>
  <si>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</si>
  <si>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</si>
  <si>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</si>
  <si>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</si>
  <si>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</si>
  <si>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</si>
  <si>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</si>
  <si>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</si>
  <si>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</si>
  <si>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</si>
  <si>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</si>
  <si>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</si>
  <si>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</si>
  <si>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</si>
  <si>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</si>
  <si>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</si>
  <si>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</si>
  <si>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</si>
  <si>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</si>
  <si>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</si>
  <si>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</si>
  <si>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</si>
  <si>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</si>
  <si>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</si>
  <si>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</si>
  <si>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</si>
  <si>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</si>
  <si>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</si>
  <si>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</si>
  <si>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</si>
  <si>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</si>
  <si>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</si>
  <si>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</si>
  <si>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</si>
  <si>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</si>
  <si>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</si>
  <si>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</si>
  <si>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</si>
  <si>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</si>
  <si>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</si>
  <si>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</si>
  <si>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</si>
  <si>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</si>
  <si>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</si>
  <si>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</si>
  <si>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</si>
  <si>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</si>
  <si>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</si>
  <si>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</si>
  <si>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</si>
  <si>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</si>
  <si>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</si>
  <si>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</si>
  <si>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</si>
  <si>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</si>
  <si>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</si>
  <si>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</si>
  <si>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</si>
  <si>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</si>
  <si>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</si>
  <si>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</si>
  <si>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</si>
  <si>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</si>
  <si>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</si>
  <si>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</si>
  <si>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</si>
  <si>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</si>
  <si>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</si>
  <si>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</si>
  <si>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</si>
  <si>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</si>
  <si>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</si>
  <si>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</si>
  <si>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</si>
  <si>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</si>
  <si>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</si>
  <si>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</si>
  <si>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</si>
  <si>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</si>
  <si>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</si>
  <si>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</si>
  <si>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</si>
  <si>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</si>
  <si>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</si>
  <si>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</si>
  <si>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</si>
  <si>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</si>
  <si>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</si>
  <si>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</si>
  <si>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</si>
  <si>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</si>
  <si>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</si>
  <si>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</si>
  <si>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</si>
  <si>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</si>
  <si>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</si>
  <si>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</si>
  <si>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</si>
  <si>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</si>
  <si>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</si>
  <si>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</si>
  <si>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</si>
  <si>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</si>
  <si>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</si>
  <si>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</si>
  <si>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</si>
  <si>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</si>
  <si>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</si>
  <si>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</si>
  <si>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</si>
  <si>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</si>
  <si>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</si>
  <si>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</si>
  <si>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</si>
  <si>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</si>
  <si>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</si>
  <si>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</si>
  <si>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</si>
  <si>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</si>
  <si>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</si>
  <si>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</si>
  <si>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</si>
  <si>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</si>
  <si>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</si>
  <si>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</si>
  <si>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</si>
  <si>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</si>
  <si>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</si>
  <si>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</si>
  <si>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</si>
  <si>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</si>
  <si>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</si>
  <si>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</si>
  <si>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</si>
  <si>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</si>
  <si>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</si>
  <si>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</si>
  <si>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</si>
  <si>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</si>
  <si>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</si>
  <si>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</si>
  <si>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</si>
  <si>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</si>
  <si>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</si>
  <si>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</si>
  <si>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</si>
  <si>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</si>
  <si>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</si>
  <si>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</si>
  <si>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</si>
  <si>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</si>
  <si>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</si>
  <si>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</si>
  <si>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</si>
  <si>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</si>
  <si>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</si>
  <si>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</si>
  <si>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</si>
  <si>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</si>
  <si>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</si>
  <si>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</si>
  <si>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</si>
  <si>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</si>
  <si>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</si>
  <si>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</si>
  <si>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</si>
  <si>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</si>
  <si>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</si>
  <si>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</si>
  <si>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</si>
  <si>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</si>
  <si>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</si>
  <si>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</si>
  <si>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</si>
  <si>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</si>
  <si>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</si>
  <si>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</si>
  <si>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</si>
  <si>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</si>
  <si>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</si>
  <si>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</si>
  <si>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</si>
  <si>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</si>
  <si>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</si>
  <si>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</si>
  <si>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</si>
  <si>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</si>
  <si>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</si>
  <si>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</si>
  <si>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</si>
  <si>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</si>
  <si>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</si>
  <si>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</si>
  <si>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</si>
  <si>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</si>
  <si>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</si>
  <si>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</si>
  <si>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</si>
  <si>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</si>
  <si>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</si>
  <si>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</si>
  <si>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</si>
  <si>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</si>
  <si>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</si>
  <si>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</si>
  <si>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</si>
  <si>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</si>
  <si>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</si>
  <si>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</si>
  <si>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</si>
  <si>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</si>
  <si>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</si>
  <si>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</si>
  <si>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</si>
  <si>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</si>
  <si>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</si>
  <si>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</si>
  <si>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</si>
  <si>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</si>
  <si>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</si>
  <si>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</si>
  <si>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</si>
  <si>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</si>
  <si>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</si>
  <si>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</si>
  <si>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</si>
  <si>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</si>
  <si>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</si>
  <si>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</si>
  <si>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</si>
  <si>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</si>
  <si>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</si>
  <si>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</si>
  <si>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</si>
  <si>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</si>
  <si>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</si>
  <si>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</si>
  <si>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</si>
  <si>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</si>
  <si>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</si>
  <si>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</si>
  <si>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</si>
  <si>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</si>
  <si>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</si>
  <si>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</si>
  <si>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</si>
  <si>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</si>
  <si>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</si>
  <si>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</si>
  <si>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</si>
  <si>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</si>
  <si>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</si>
  <si>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</si>
  <si>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</si>
  <si>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</si>
  <si>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</si>
  <si>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</si>
  <si>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</si>
  <si>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</si>
  <si>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</si>
  <si>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</si>
  <si>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</si>
  <si>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</si>
  <si>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</si>
  <si>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</si>
  <si>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</si>
  <si>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</si>
  <si>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</si>
  <si>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</si>
  <si>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</si>
  <si>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</si>
  <si>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</si>
  <si>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</si>
  <si>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</si>
  <si>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</si>
  <si>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</si>
  <si>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</si>
  <si>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</si>
  <si>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</si>
  <si>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</si>
  <si>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</si>
  <si>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</si>
  <si>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</si>
  <si>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</si>
  <si>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</si>
  <si>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</si>
  <si>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</si>
  <si>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</si>
  <si>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</si>
  <si>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</si>
  <si>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</si>
  <si>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</si>
  <si>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</si>
  <si>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</si>
  <si>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</si>
  <si>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</si>
  <si>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</si>
  <si>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</si>
  <si>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</si>
  <si>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</si>
  <si>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</si>
  <si>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</si>
  <si>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</si>
  <si>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</si>
  <si>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</si>
  <si>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</si>
  <si>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</si>
  <si>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</si>
  <si>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</si>
  <si>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</si>
  <si>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</si>
  <si>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</si>
  <si>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</si>
  <si>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</si>
  <si>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</si>
  <si>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</si>
  <si>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</si>
  <si>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</si>
  <si>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</si>
  <si>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</si>
  <si>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</si>
  <si>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</si>
  <si>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</si>
  <si>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</si>
  <si>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</si>
  <si>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</si>
  <si>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</si>
  <si>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</si>
  <si>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</si>
  <si>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</si>
  <si>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</si>
  <si>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</si>
  <si>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</si>
  <si>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</si>
  <si>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</si>
  <si>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</si>
  <si>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</si>
  <si>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</si>
  <si>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</si>
  <si>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</si>
  <si>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</si>
  <si>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</si>
  <si>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</si>
  <si>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</si>
  <si>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</si>
  <si>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</si>
  <si>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</si>
  <si>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</si>
  <si>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</si>
  <si>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</si>
  <si>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</si>
  <si>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</si>
  <si>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</si>
  <si>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</si>
  <si>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</si>
  <si>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</si>
  <si>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</si>
  <si>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</si>
  <si>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</si>
  <si>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</si>
  <si>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</si>
  <si>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</si>
  <si>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</si>
  <si>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</si>
  <si>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</si>
  <si>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</si>
  <si>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</si>
  <si>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</si>
  <si>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</si>
  <si>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</si>
  <si>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</si>
  <si>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</si>
  <si>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</si>
  <si>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</si>
  <si>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</si>
  <si>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</si>
  <si>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</si>
  <si>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</si>
  <si>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</si>
  <si>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</si>
  <si>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</si>
  <si>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</si>
  <si>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</si>
  <si>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</si>
  <si>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</si>
  <si>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</si>
  <si>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</si>
  <si>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</si>
  <si>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</si>
  <si>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</si>
  <si>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</si>
  <si>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</si>
  <si>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</si>
  <si>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</si>
  <si>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</si>
  <si>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</si>
  <si>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</si>
  <si>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</si>
  <si>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</si>
  <si>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</si>
  <si>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</si>
  <si>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</si>
  <si>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</si>
  <si>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</si>
  <si>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</si>
  <si>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</si>
  <si>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</si>
  <si>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</si>
  <si>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</si>
  <si>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</si>
  <si>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</si>
  <si>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</si>
  <si>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</si>
  <si>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</si>
  <si>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</si>
  <si>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</si>
  <si>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</si>
  <si>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</si>
  <si>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</si>
  <si>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</si>
  <si>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</si>
  <si>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</si>
  <si>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</si>
  <si>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</si>
  <si>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</si>
  <si>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</si>
  <si>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</si>
  <si>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</si>
  <si>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</si>
  <si>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</si>
  <si>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</si>
  <si>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</si>
  <si>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</si>
  <si>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</si>
  <si>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</si>
  <si>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</si>
  <si>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</si>
  <si>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</si>
  <si>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</si>
  <si>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</si>
  <si>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</si>
  <si>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</si>
  <si>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</si>
  <si>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</si>
  <si>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</si>
  <si>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</si>
  <si>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</si>
  <si>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</si>
  <si>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</si>
  <si>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</si>
  <si>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</si>
  <si>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</si>
  <si>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</si>
  <si>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</si>
  <si>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</si>
  <si>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</si>
  <si>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</si>
  <si>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</si>
  <si>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</si>
  <si>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</si>
  <si>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</si>
  <si>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</si>
  <si>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</si>
  <si>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</si>
  <si>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</si>
  <si>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</si>
  <si>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</si>
  <si>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</si>
  <si>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</si>
  <si>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</si>
  <si>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</si>
  <si>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</si>
  <si>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</si>
  <si>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</si>
  <si>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</si>
  <si>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</si>
  <si>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</si>
  <si>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</si>
  <si>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</si>
  <si>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</si>
  <si>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</si>
  <si>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</si>
  <si>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</si>
  <si>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</si>
  <si>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</si>
  <si>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</si>
  <si>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</si>
  <si>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</si>
  <si>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</si>
  <si>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</si>
  <si>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</si>
  <si>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</si>
  <si>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</si>
  <si>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</si>
  <si>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</si>
  <si>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</si>
  <si>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</si>
  <si>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</si>
  <si>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</si>
  <si>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</si>
  <si>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</si>
  <si>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</si>
  <si>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</si>
  <si>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</si>
  <si>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</si>
  <si>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</si>
  <si>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</si>
  <si>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</si>
  <si>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</si>
  <si>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</si>
  <si>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</si>
  <si>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</si>
  <si>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</si>
  <si>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</si>
  <si>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</si>
  <si>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</si>
  <si>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</si>
  <si>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</si>
  <si>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</si>
  <si>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</si>
  <si>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</si>
  <si>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</si>
  <si>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</si>
  <si>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</si>
  <si>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</si>
  <si>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</si>
  <si>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</si>
  <si>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</si>
  <si>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</si>
  <si>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</si>
  <si>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</si>
  <si>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</si>
  <si>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</si>
  <si>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</si>
  <si>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</si>
  <si>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</si>
  <si>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</si>
  <si>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</si>
  <si>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</si>
  <si>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</si>
  <si>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</si>
  <si>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</si>
  <si>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</si>
  <si>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</si>
  <si>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</si>
  <si>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</si>
  <si>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</si>
  <si>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</si>
  <si>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</si>
  <si>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</si>
  <si>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</si>
  <si>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</si>
  <si>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</si>
  <si>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</si>
  <si>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</si>
  <si>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</si>
  <si>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</si>
  <si>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</si>
  <si>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</si>
  <si>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</si>
  <si>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</si>
  <si>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</si>
  <si>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</si>
  <si>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</si>
  <si>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</si>
  <si>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</si>
  <si>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</si>
  <si>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</si>
  <si>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</si>
  <si>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</si>
  <si>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</si>
  <si>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</si>
  <si>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</si>
  <si>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</si>
  <si>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</si>
  <si>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</si>
  <si>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</si>
  <si>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</si>
  <si>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</si>
  <si>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</si>
  <si>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</si>
  <si>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</si>
  <si>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</si>
  <si>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</si>
  <si>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</si>
  <si>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</si>
  <si>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</si>
  <si>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</si>
  <si>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</si>
  <si>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</si>
  <si>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</si>
  <si>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</si>
  <si>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</si>
  <si>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</si>
  <si>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</si>
  <si>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</si>
  <si>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</si>
  <si>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</si>
  <si>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</si>
  <si>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</si>
  <si>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</si>
  <si>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</si>
  <si>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</si>
  <si>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</si>
  <si>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</si>
  <si>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</si>
  <si>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</si>
  <si>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</si>
  <si>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</si>
  <si>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</si>
  <si>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</si>
  <si>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</si>
  <si>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</si>
  <si>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</si>
  <si>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</si>
  <si>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</si>
  <si>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</si>
  <si>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</si>
  <si>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</si>
  <si>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</si>
  <si>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</si>
  <si>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</si>
  <si>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</si>
  <si>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</si>
  <si>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</si>
  <si>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</si>
  <si>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</si>
  <si>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</si>
  <si>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</si>
  <si>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</si>
  <si>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</si>
  <si>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</si>
  <si>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</si>
  <si>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</si>
  <si>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</si>
  <si>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</si>
  <si>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</si>
  <si>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</si>
  <si>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</si>
  <si>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</si>
  <si>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</si>
  <si>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</si>
  <si>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</si>
  <si>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</si>
  <si>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</si>
  <si>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</si>
  <si>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</si>
  <si>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</si>
  <si>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</si>
  <si>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</si>
  <si>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</si>
  <si>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</si>
  <si>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</si>
  <si>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</si>
  <si>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</si>
  <si>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</si>
  <si>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</si>
  <si>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</si>
  <si>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</si>
  <si>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</si>
  <si>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</si>
  <si>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</si>
  <si>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</si>
  <si>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</si>
  <si>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</si>
  <si>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</si>
  <si>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</si>
  <si>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</si>
  <si>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</si>
  <si>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</si>
  <si>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</si>
  <si>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</si>
  <si>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</si>
  <si>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</si>
  <si>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</si>
  <si>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</si>
  <si>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</si>
  <si>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</si>
  <si>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</si>
  <si>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</si>
  <si>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</si>
  <si>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</si>
  <si>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</si>
  <si>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</si>
  <si>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</si>
  <si>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</si>
  <si>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</si>
  <si>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</si>
  <si>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</si>
  <si>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</si>
  <si>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</si>
  <si>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</si>
  <si>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</si>
  <si>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</si>
  <si>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</si>
  <si>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</si>
  <si>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</si>
  <si>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</si>
  <si>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</si>
  <si>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</si>
  <si>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</si>
  <si>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</si>
  <si>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</si>
  <si>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</si>
  <si>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</si>
  <si>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</si>
  <si>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</si>
  <si>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</si>
  <si>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</si>
  <si>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</si>
  <si>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</si>
  <si>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</si>
  <si>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</si>
  <si>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</si>
  <si>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</si>
  <si>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</si>
  <si>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</si>
  <si>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</si>
  <si>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</si>
  <si>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</si>
  <si>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</si>
  <si>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</si>
  <si>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</si>
  <si>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</si>
  <si>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</si>
  <si>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</si>
  <si>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</si>
  <si>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</si>
  <si>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</si>
  <si>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</si>
  <si>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</si>
  <si>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</si>
  <si>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</si>
  <si>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</si>
  <si>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</si>
  <si>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</si>
  <si>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</si>
  <si>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</si>
  <si>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</si>
  <si>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</si>
  <si>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</si>
  <si>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</si>
  <si>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</si>
  <si>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</si>
  <si>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</si>
  <si>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</si>
  <si>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</si>
  <si>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</si>
  <si>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</si>
  <si>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</si>
  <si>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</si>
  <si>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</si>
  <si>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</si>
  <si>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</si>
  <si>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</si>
  <si>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</si>
  <si>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</si>
  <si>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</si>
  <si>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</si>
  <si>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</si>
  <si>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</si>
  <si>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</si>
  <si>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</si>
  <si>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</si>
  <si>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</si>
  <si>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</si>
  <si>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</si>
  <si>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</si>
  <si>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</si>
  <si>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</si>
  <si>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</si>
  <si>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</si>
  <si>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</si>
  <si>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</si>
  <si>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</si>
  <si>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</si>
  <si>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</si>
  <si>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</si>
  <si>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</si>
  <si>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</si>
  <si>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</si>
  <si>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</si>
  <si>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</si>
  <si>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</si>
  <si>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</si>
  <si>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</si>
  <si>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</si>
  <si>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</si>
  <si>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</si>
  <si>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</si>
  <si>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</si>
  <si>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</si>
  <si>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</si>
  <si>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</si>
  <si>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</si>
  <si>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</si>
  <si>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</si>
  <si>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</si>
  <si>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</si>
  <si>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</si>
  <si>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</si>
  <si>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</si>
  <si>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</si>
  <si>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</si>
  <si>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</si>
  <si>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</si>
  <si>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</si>
  <si>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</si>
  <si>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</si>
  <si>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</si>
  <si>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</si>
  <si>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</si>
  <si>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</si>
  <si>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</si>
  <si>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</si>
  <si>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</si>
  <si>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</si>
  <si>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</si>
  <si>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</si>
  <si>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</si>
  <si>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</si>
  <si>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</si>
  <si>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</si>
  <si>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</si>
  <si>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</si>
  <si>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</si>
  <si>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</si>
  <si>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</si>
  <si>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</si>
  <si>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</si>
  <si>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</si>
  <si>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</si>
  <si>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</si>
  <si>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</si>
  <si>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</si>
  <si>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</si>
  <si>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</si>
  <si>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</si>
  <si>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</si>
  <si>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</si>
  <si>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</si>
  <si>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</si>
  <si>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</si>
  <si>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</si>
  <si>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</si>
  <si>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</si>
  <si>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</si>
  <si>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</si>
  <si>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</si>
  <si>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</si>
  <si>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</si>
  <si>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</si>
  <si>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</si>
  <si>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</si>
  <si>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</si>
  <si>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</si>
  <si>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</si>
  <si>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</si>
  <si>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</si>
  <si>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</si>
  <si>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</si>
  <si>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</si>
  <si>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</si>
  <si>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</si>
  <si>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</si>
  <si>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</si>
  <si>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</si>
  <si>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</si>
  <si>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</si>
  <si>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</si>
  <si>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</si>
  <si>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</si>
  <si>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</si>
  <si>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</si>
  <si>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</si>
  <si>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</si>
  <si>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</si>
  <si>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</si>
  <si>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</si>
  <si>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</si>
  <si>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</si>
  <si>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</si>
  <si>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</si>
  <si>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</si>
  <si>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</si>
  <si>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</si>
  <si>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</si>
  <si>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</si>
  <si>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</si>
  <si>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</si>
  <si>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</si>
  <si>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</si>
  <si>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</si>
  <si>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</si>
  <si>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</si>
  <si>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</si>
  <si>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</si>
  <si>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</si>
  <si>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</si>
  <si>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</si>
  <si>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</si>
  <si>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</si>
  <si>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</si>
  <si>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</si>
  <si>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</si>
  <si>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</si>
  <si>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</si>
  <si>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</si>
  <si>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</si>
  <si>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</si>
  <si>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</si>
  <si>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</si>
  <si>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</si>
  <si>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</si>
  <si>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</si>
  <si>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</si>
  <si>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</si>
  <si>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</si>
  <si>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</si>
  <si>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</si>
  <si>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</si>
  <si>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</si>
  <si>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</si>
  <si>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</si>
  <si>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</si>
  <si>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</si>
  <si>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</si>
  <si>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</si>
  <si>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</si>
  <si>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</si>
  <si>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</si>
  <si>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</si>
  <si>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</si>
  <si>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</si>
  <si>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</si>
  <si>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</si>
  <si>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</si>
  <si>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</si>
  <si>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</si>
  <si>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</si>
  <si>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</si>
  <si>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</si>
  <si>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</si>
  <si>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</si>
  <si>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</si>
  <si>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</si>
  <si>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</si>
  <si>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</si>
  <si>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</si>
  <si>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</si>
  <si>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</si>
  <si>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</si>
  <si>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</si>
  <si>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</si>
  <si>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</si>
  <si>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</si>
  <si>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</si>
  <si>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</si>
  <si>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</si>
  <si>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</si>
  <si>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</si>
  <si>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</si>
  <si>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</si>
  <si>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</si>
  <si>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</si>
  <si>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</si>
  <si>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</si>
  <si>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</si>
  <si>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</si>
  <si>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</si>
  <si>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</si>
  <si>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</si>
  <si>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</si>
  <si>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</si>
  <si>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</si>
  <si>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</si>
  <si>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</si>
  <si>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</si>
  <si>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</si>
  <si>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</si>
  <si>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</si>
  <si>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</si>
  <si>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</si>
  <si>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</si>
  <si>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</si>
  <si>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</si>
  <si>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</si>
  <si>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</si>
  <si>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</si>
  <si>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</si>
  <si>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</si>
  <si>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</si>
  <si>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</si>
  <si>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</si>
  <si>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</si>
  <si>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</si>
  <si>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</si>
  <si>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</si>
  <si>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</si>
  <si>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</si>
  <si>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</si>
  <si>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</si>
  <si>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</si>
  <si>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</si>
  <si>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</si>
  <si>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</si>
  <si>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</si>
  <si>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</si>
  <si>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</si>
  <si>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</si>
  <si>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</si>
  <si>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</si>
  <si>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</si>
  <si>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</si>
  <si>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</si>
  <si>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</si>
  <si>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</si>
  <si>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</si>
  <si>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</si>
  <si>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</si>
  <si>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</si>
  <si>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</si>
  <si>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</si>
  <si>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</si>
  <si>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</si>
  <si>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</si>
  <si>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</si>
  <si>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</si>
  <si>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</si>
  <si>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</si>
  <si>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</si>
  <si>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</si>
  <si>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</si>
  <si>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</si>
  <si>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</si>
  <si>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</si>
  <si>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</si>
  <si>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</si>
  <si>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</si>
  <si>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</si>
  <si>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</si>
  <si>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</si>
  <si>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</si>
  <si>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</si>
  <si>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</si>
  <si>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</si>
  <si>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</si>
  <si>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</si>
  <si>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</si>
  <si>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</si>
  <si>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</si>
  <si>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</si>
  <si>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</si>
  <si>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</si>
  <si>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</si>
  <si>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</si>
  <si>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</si>
  <si>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</si>
  <si>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</si>
  <si>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</si>
  <si>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</si>
  <si>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</si>
  <si>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</si>
  <si>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</si>
  <si>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</si>
  <si>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</si>
  <si>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</si>
  <si>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</si>
  <si>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</si>
  <si>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</si>
  <si>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</si>
  <si>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</si>
  <si>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</si>
  <si>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</si>
  <si>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</si>
  <si>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</si>
  <si>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</si>
  <si>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</si>
  <si>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</si>
  <si>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</si>
  <si>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</si>
  <si>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</si>
  <si>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</si>
  <si>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</si>
  <si>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</si>
  <si>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</si>
  <si>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</si>
  <si>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</si>
  <si>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</si>
  <si>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</si>
  <si>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</si>
  <si>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</si>
  <si>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</si>
  <si>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</si>
  <si>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</si>
  <si>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</si>
  <si>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</si>
  <si>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</si>
  <si>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</si>
  <si>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</si>
  <si>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</si>
  <si>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</si>
  <si>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</si>
  <si>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</si>
  <si>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</si>
  <si>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</si>
  <si>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</si>
  <si>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</si>
  <si>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</si>
  <si>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</si>
  <si>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</si>
  <si>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</si>
  <si>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</si>
  <si>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</si>
  <si>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</si>
  <si>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</si>
  <si>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</si>
  <si>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</si>
  <si>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</si>
  <si>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</si>
  <si>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</si>
  <si>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</si>
  <si>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</si>
  <si>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</si>
  <si>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</si>
  <si>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</si>
  <si>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</si>
  <si>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</si>
  <si>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</si>
  <si>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</si>
  <si>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</si>
  <si>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</si>
  <si>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</si>
  <si>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</si>
  <si>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</si>
  <si>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</si>
  <si>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</si>
  <si>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</si>
  <si>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</si>
  <si>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</si>
  <si>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</si>
  <si>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</si>
  <si>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</si>
  <si>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</si>
  <si>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</si>
  <si>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</si>
  <si>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</si>
  <si>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</si>
  <si>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</si>
  <si>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</si>
  <si>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</si>
  <si>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</si>
  <si>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</si>
  <si>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</si>
  <si>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</si>
  <si>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</si>
  <si>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</si>
  <si>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</si>
  <si>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</si>
  <si>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</si>
  <si>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</si>
  <si>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</si>
  <si>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</si>
  <si>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</si>
  <si>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</si>
  <si>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</si>
  <si>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</si>
  <si>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</si>
  <si>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</si>
  <si>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</si>
  <si>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</si>
  <si>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</si>
  <si>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</si>
  <si>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</si>
  <si>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</si>
  <si>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</si>
  <si>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</si>
  <si>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</si>
  <si>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</si>
  <si>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</si>
  <si>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</si>
  <si>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</si>
  <si>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</si>
  <si>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</si>
  <si>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</si>
  <si>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</si>
  <si>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</si>
  <si>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</si>
  <si>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</si>
  <si>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</si>
  <si>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</si>
  <si>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</si>
  <si>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</si>
  <si>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</si>
  <si>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</si>
  <si>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</si>
  <si>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</si>
  <si>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</si>
  <si>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</si>
  <si>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</si>
  <si>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</si>
  <si>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</si>
  <si>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</si>
  <si>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</si>
  <si>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</si>
  <si>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</si>
  <si>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</si>
  <si>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</si>
  <si>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</si>
  <si>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</si>
  <si>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</si>
  <si>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</si>
  <si>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</si>
  <si>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</si>
  <si>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</si>
  <si>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</si>
  <si>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</si>
  <si>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</si>
  <si>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</si>
  <si>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</si>
  <si>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</si>
  <si>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</si>
  <si>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</si>
  <si>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</si>
  <si>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</si>
  <si>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</si>
  <si>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</si>
  <si>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</si>
  <si>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</si>
  <si>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</si>
  <si>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</si>
  <si>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</si>
  <si>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</si>
  <si>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</si>
  <si>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</si>
  <si>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</si>
  <si>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</si>
  <si>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</si>
  <si>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</si>
  <si>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</si>
  <si>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</si>
  <si>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</si>
  <si>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</si>
  <si>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</si>
  <si>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</si>
  <si>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</si>
  <si>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</si>
  <si>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</si>
  <si>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</si>
  <si>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</si>
  <si>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</si>
  <si>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</si>
  <si>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</si>
  <si>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</si>
  <si>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</si>
  <si>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</si>
  <si>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</si>
  <si>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</si>
  <si>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</si>
  <si>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</si>
  <si>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</si>
  <si>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</si>
  <si>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</si>
  <si>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</si>
  <si>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</si>
  <si>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</si>
  <si>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</si>
  <si>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</si>
  <si>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</si>
  <si>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</si>
  <si>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</si>
  <si>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</si>
  <si>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</si>
  <si>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</si>
  <si>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</si>
  <si>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</si>
  <si>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</si>
  <si>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</si>
  <si>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</si>
  <si>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</si>
  <si>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</si>
  <si>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</si>
  <si>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</si>
  <si>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</si>
  <si>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</si>
  <si>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</si>
  <si>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</si>
  <si>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</si>
  <si>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</si>
  <si>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</si>
  <si>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</si>
  <si>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</si>
  <si>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</si>
  <si>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</si>
  <si>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</si>
  <si>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</si>
  <si>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</si>
  <si>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</si>
  <si>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</si>
  <si>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</si>
  <si>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</si>
  <si>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</si>
  <si>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</si>
  <si>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</si>
  <si>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</si>
  <si>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</si>
  <si>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</si>
  <si>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</si>
  <si>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</si>
  <si>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</si>
  <si>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</si>
  <si>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</si>
  <si>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</si>
  <si>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</si>
  <si>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</si>
  <si>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</si>
  <si>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</si>
  <si>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</si>
  <si>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</si>
  <si>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</si>
  <si>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</si>
  <si>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</si>
  <si>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</si>
  <si>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</si>
  <si>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</si>
  <si>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</si>
  <si>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</si>
  <si>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</si>
  <si>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</si>
  <si>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</si>
  <si>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</si>
  <si>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</si>
  <si>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</si>
  <si>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</si>
  <si>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</si>
  <si>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</si>
  <si>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</si>
  <si>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</si>
  <si>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</si>
  <si>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</si>
  <si>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</si>
  <si>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</si>
  <si>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</si>
  <si>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</si>
  <si>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</si>
  <si>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</si>
  <si>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</si>
  <si>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</si>
  <si>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</si>
  <si>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</si>
  <si>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</si>
  <si>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</si>
  <si>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</si>
  <si>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</si>
  <si>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</si>
  <si>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</si>
  <si>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</si>
  <si>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</si>
  <si>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</si>
  <si>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</si>
  <si>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</si>
  <si>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</si>
  <si>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</si>
  <si>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</si>
  <si>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</si>
  <si>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</si>
  <si>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</si>
  <si>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</si>
  <si>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</si>
  <si>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</si>
  <si>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</si>
  <si>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</si>
  <si>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</si>
  <si>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</si>
  <si>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</si>
  <si>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</si>
  <si>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</si>
  <si>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</si>
  <si>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</si>
  <si>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</si>
  <si>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</si>
  <si>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</si>
  <si>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</si>
  <si>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</si>
  <si>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</si>
  <si>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</si>
  <si>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</si>
  <si>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</si>
  <si>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</si>
  <si>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</si>
  <si>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</si>
  <si>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</si>
  <si>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</si>
  <si>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</si>
  <si>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</si>
  <si>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</si>
  <si>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</si>
  <si>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</si>
  <si>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</si>
  <si>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</si>
  <si>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</si>
  <si>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</si>
  <si>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</si>
  <si>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</si>
  <si>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</si>
  <si>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</si>
  <si>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</si>
  <si>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</si>
  <si>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</si>
  <si>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</si>
  <si>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</si>
  <si>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</si>
  <si>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</si>
  <si>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</si>
  <si>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</si>
  <si>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</si>
  <si>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</si>
  <si>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</si>
  <si>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</si>
  <si>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</si>
  <si>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</si>
  <si>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</si>
  <si>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</si>
  <si>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</si>
  <si>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</si>
  <si>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</si>
  <si>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</si>
  <si>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</si>
  <si>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</si>
  <si>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</si>
  <si>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</si>
  <si>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</si>
  <si>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</si>
  <si>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</si>
  <si>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</si>
  <si>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</si>
  <si>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</si>
  <si>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</si>
  <si>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</si>
  <si>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</si>
  <si>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</si>
  <si>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</si>
  <si>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</si>
  <si>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</si>
  <si>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</si>
  <si>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</si>
  <si>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</si>
  <si>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</si>
  <si>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</si>
  <si>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</si>
  <si>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</si>
  <si>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</si>
  <si>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</si>
  <si>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</si>
  <si>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</si>
  <si>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</si>
  <si>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</si>
  <si>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</si>
  <si>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</si>
  <si>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</si>
  <si>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</si>
  <si>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</si>
  <si>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</si>
  <si>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</si>
  <si>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</si>
  <si>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</si>
  <si>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</si>
  <si>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</si>
  <si>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</si>
  <si>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</si>
  <si>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</si>
  <si>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</si>
  <si>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</si>
  <si>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</si>
  <si>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</si>
  <si>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</si>
  <si>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</si>
  <si>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</si>
  <si>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</si>
  <si>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</si>
  <si>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</si>
  <si>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</si>
  <si>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</si>
  <si>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</si>
  <si>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</si>
  <si>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</si>
  <si>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</si>
  <si>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</si>
  <si>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</si>
  <si>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</si>
  <si>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</si>
  <si>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</si>
  <si>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</si>
  <si>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</si>
  <si>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</si>
  <si>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</si>
  <si>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</si>
  <si>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</si>
  <si>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</si>
  <si>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</si>
  <si>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</si>
  <si>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</si>
  <si>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</si>
  <si>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</si>
  <si>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</si>
  <si>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</si>
  <si>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</si>
  <si>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</si>
  <si>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</si>
  <si>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</si>
  <si>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</si>
  <si>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</si>
  <si>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</si>
  <si>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</si>
  <si>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</si>
  <si>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</si>
  <si>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</si>
  <si>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</si>
  <si>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</si>
  <si>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</si>
  <si>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</si>
  <si>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</si>
  <si>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</si>
  <si>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</si>
  <si>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</si>
  <si>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</si>
  <si>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</si>
  <si>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</si>
  <si>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</si>
  <si>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</si>
  <si>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</si>
  <si>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</si>
  <si>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</si>
  <si>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</si>
  <si>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</si>
  <si>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</si>
  <si>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</si>
  <si>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</si>
  <si>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</si>
  <si>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</si>
  <si>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</si>
  <si>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</si>
  <si>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</si>
  <si>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</si>
  <si>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</si>
  <si>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</si>
  <si>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</si>
  <si>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</si>
  <si>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</si>
  <si>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</si>
  <si>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</si>
  <si>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</si>
  <si>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</si>
  <si>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</si>
  <si>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</si>
  <si>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</si>
  <si>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</si>
  <si>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</si>
  <si>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</si>
  <si>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</si>
  <si>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</si>
  <si>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</si>
  <si>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</si>
  <si>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</si>
  <si>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</si>
  <si>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</si>
  <si>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</si>
  <si>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</si>
  <si>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</si>
  <si>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</si>
  <si>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</si>
  <si>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</si>
  <si>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</si>
  <si>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</si>
  <si>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</si>
  <si>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</si>
  <si>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</si>
  <si>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</si>
  <si>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</si>
  <si>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</si>
  <si>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</si>
  <si>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</si>
  <si>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</si>
  <si>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</si>
  <si>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</si>
  <si>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</si>
  <si>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</si>
  <si>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</si>
  <si>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</si>
  <si>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</si>
  <si>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</si>
  <si>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</si>
  <si>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</si>
  <si>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</si>
  <si>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</si>
  <si>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</si>
  <si>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</si>
  <si>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</si>
  <si>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</si>
  <si>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</si>
  <si>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</si>
  <si>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</si>
  <si>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</si>
  <si>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</si>
  <si>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</si>
  <si>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</si>
  <si>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</si>
  <si>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</si>
  <si>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</si>
  <si>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</si>
  <si>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</si>
  <si>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</si>
  <si>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</si>
  <si>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</si>
  <si>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</si>
  <si>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</si>
  <si>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</si>
  <si>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</si>
  <si>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</si>
  <si>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</si>
  <si>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</si>
  <si>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</si>
  <si>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</si>
  <si>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</si>
  <si>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</si>
  <si>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</si>
  <si>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</si>
  <si>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</si>
  <si>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</si>
  <si>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</si>
  <si>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</si>
  <si>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</si>
  <si>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</si>
  <si>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</si>
  <si>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</si>
  <si>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</si>
  <si>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</si>
  <si>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</si>
  <si>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</si>
  <si>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</si>
  <si>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</si>
  <si>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</si>
  <si>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</si>
  <si>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</si>
  <si>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</si>
  <si>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</si>
  <si>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</si>
  <si>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</si>
  <si>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</si>
  <si>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</si>
  <si>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</si>
  <si>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</si>
  <si>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</si>
  <si>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</si>
  <si>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</si>
  <si>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</si>
  <si>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</si>
  <si>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</si>
  <si>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</si>
  <si>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</si>
  <si>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</si>
  <si>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</si>
  <si>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</si>
  <si>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</si>
  <si>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</si>
  <si>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</si>
  <si>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</si>
  <si>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</si>
  <si>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</si>
  <si>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</si>
  <si>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</si>
  <si>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</si>
  <si>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</si>
  <si>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</si>
  <si>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</si>
  <si>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</si>
  <si>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</si>
  <si>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</si>
  <si>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</si>
  <si>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</si>
  <si>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</si>
  <si>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</si>
  <si>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</si>
  <si>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</si>
  <si>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</si>
  <si>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</si>
  <si>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</si>
  <si>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</si>
  <si>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</si>
  <si>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</si>
  <si>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</si>
  <si>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</si>
  <si>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</si>
  <si>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</si>
  <si>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</si>
  <si>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</si>
  <si>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</si>
  <si>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</si>
  <si>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</si>
  <si>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</si>
  <si>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</si>
  <si>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</si>
  <si>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</si>
  <si>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</si>
  <si>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</si>
  <si>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</si>
  <si>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</si>
  <si>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</si>
  <si>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</si>
  <si>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</si>
  <si>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</si>
  <si>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</si>
  <si>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</si>
  <si>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</si>
  <si>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</si>
  <si>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</si>
  <si>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</si>
  <si>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</si>
  <si>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</si>
  <si>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</si>
  <si>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</si>
  <si>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</si>
  <si>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</si>
  <si>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</si>
  <si>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</si>
  <si>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</si>
  <si>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</si>
  <si>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</si>
  <si>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</si>
  <si>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</si>
  <si>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</si>
  <si>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</si>
  <si>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</si>
  <si>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</si>
  <si>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</si>
  <si>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</si>
  <si>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</si>
  <si>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</si>
  <si>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</si>
  <si>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</si>
  <si>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</si>
  <si>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</si>
  <si>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</si>
  <si>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</si>
  <si>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</si>
  <si>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</si>
  <si>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</si>
  <si>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</si>
  <si>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</si>
  <si>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</si>
  <si>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</si>
  <si>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</si>
  <si>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</si>
  <si>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</si>
  <si>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</si>
  <si>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</si>
  <si>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</si>
  <si>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</si>
  <si>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</si>
  <si>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</si>
  <si>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</si>
  <si>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</si>
  <si>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</si>
  <si>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</si>
  <si>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</si>
  <si>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</si>
  <si>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</si>
  <si>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</si>
  <si>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</si>
  <si>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</si>
  <si>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</si>
  <si>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</si>
  <si>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</si>
  <si>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</si>
  <si>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</si>
  <si>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</si>
  <si>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</si>
  <si>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</si>
  <si>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</si>
  <si>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</si>
  <si>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</si>
  <si>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</si>
  <si>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</si>
  <si>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</si>
  <si>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</si>
  <si>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</si>
  <si>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</si>
  <si>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</si>
  <si>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</si>
  <si>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</si>
  <si>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</si>
  <si>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</si>
  <si>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</si>
  <si>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</si>
  <si>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</si>
  <si>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</si>
  <si>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</si>
  <si>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</si>
  <si>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</si>
  <si>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</si>
  <si>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</si>
  <si>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</si>
  <si>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</si>
  <si>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</si>
  <si>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</si>
  <si>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</si>
  <si>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</si>
  <si>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</si>
  <si>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</si>
  <si>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</si>
  <si>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</si>
  <si>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</si>
  <si>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</si>
  <si>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</si>
  <si>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</si>
  <si>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</si>
  <si>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</si>
  <si>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</si>
  <si>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</si>
  <si>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</si>
  <si>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</si>
  <si>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</si>
  <si>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</si>
  <si>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</si>
  <si>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</si>
  <si>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</si>
  <si>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</si>
  <si>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</si>
  <si>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</si>
  <si>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</si>
  <si>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</si>
  <si>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</si>
  <si>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</si>
  <si>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</si>
  <si>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</si>
  <si>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</si>
  <si>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</si>
  <si>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</si>
  <si>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</si>
  <si>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</si>
  <si>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</si>
  <si>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</si>
  <si>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</si>
  <si>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</si>
  <si>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</si>
  <si>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</si>
  <si>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</si>
  <si>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</si>
  <si>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</si>
  <si>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</si>
  <si>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</si>
  <si>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</si>
  <si>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</si>
  <si>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</si>
  <si>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</si>
  <si>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</si>
  <si>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</si>
  <si>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</si>
  <si>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</si>
  <si>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</si>
  <si>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</si>
  <si>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</si>
  <si>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</si>
  <si>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</si>
  <si>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</si>
  <si>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</si>
  <si>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</si>
  <si>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</si>
  <si>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</si>
  <si>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</si>
  <si>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</si>
  <si>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</si>
  <si>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</si>
  <si>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</si>
  <si>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</si>
  <si>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</si>
  <si>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</si>
  <si>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</si>
  <si>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</si>
  <si>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</si>
  <si>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</si>
  <si>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</si>
  <si>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</si>
  <si>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</si>
  <si>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</si>
  <si>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</si>
  <si>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</si>
  <si>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</si>
  <si>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</si>
  <si>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</si>
  <si>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</si>
  <si>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</si>
  <si>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</si>
  <si>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</si>
  <si>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</si>
  <si>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</si>
  <si>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</si>
  <si>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</si>
  <si>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</si>
  <si>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</si>
  <si>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</si>
  <si>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</si>
  <si>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</si>
  <si>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</si>
  <si>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</si>
  <si>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</si>
  <si>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</si>
  <si>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</si>
  <si>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</si>
  <si>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</si>
  <si>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</si>
  <si>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</si>
  <si>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</si>
  <si>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</si>
  <si>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</si>
  <si>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</si>
  <si>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</si>
  <si>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</si>
  <si>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</si>
  <si>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</si>
  <si>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</si>
  <si>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</si>
  <si>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</si>
  <si>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</si>
  <si>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</si>
  <si>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</si>
  <si>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</si>
  <si>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</si>
  <si>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</si>
  <si>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</si>
  <si>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</si>
  <si>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</si>
  <si>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</si>
  <si>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</si>
  <si>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</si>
  <si>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</si>
  <si>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</si>
  <si>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</si>
  <si>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</si>
  <si>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</si>
  <si>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</si>
  <si>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</si>
  <si>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</si>
  <si>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</si>
  <si>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</si>
  <si>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</si>
  <si>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</si>
  <si>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</si>
  <si>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</si>
  <si>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</si>
  <si>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</si>
  <si>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</si>
  <si>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</si>
  <si>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</si>
  <si>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</si>
  <si>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</si>
  <si>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</si>
  <si>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</si>
  <si>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</si>
  <si>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</si>
  <si>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</si>
  <si>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</si>
  <si>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</si>
  <si>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</si>
  <si>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</si>
  <si>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</si>
  <si>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</si>
  <si>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</si>
  <si>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</si>
  <si>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</si>
  <si>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</si>
  <si>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</si>
  <si>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</si>
  <si>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</si>
  <si>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</si>
  <si>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</si>
  <si>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</si>
  <si>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</si>
  <si>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</si>
  <si>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</si>
  <si>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</si>
  <si>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</si>
  <si>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</si>
  <si>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</si>
  <si>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</si>
  <si>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</si>
  <si>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</si>
  <si>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</si>
  <si>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</si>
  <si>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</si>
  <si>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</si>
  <si>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</si>
  <si>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</si>
  <si>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</si>
  <si>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</si>
  <si>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</si>
  <si>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</si>
  <si>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</si>
  <si>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</si>
  <si>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</si>
  <si>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</si>
  <si>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</si>
  <si>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</si>
  <si>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</si>
  <si>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</si>
  <si>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</si>
  <si>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</si>
  <si>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</si>
  <si>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</si>
  <si>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</si>
  <si>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</si>
  <si>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</si>
  <si>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</si>
  <si>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</si>
  <si>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</si>
  <si>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</si>
  <si>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</si>
  <si>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</si>
  <si>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</si>
  <si>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</si>
  <si>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</si>
  <si>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</si>
  <si>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</si>
  <si>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</si>
  <si>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</si>
  <si>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</si>
  <si>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</si>
  <si>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</si>
  <si>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</si>
  <si>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</si>
  <si>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</si>
  <si>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</si>
  <si>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</si>
  <si>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</si>
  <si>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</si>
  <si>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</si>
  <si>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</si>
  <si>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</si>
  <si>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</si>
  <si>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</si>
  <si>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</si>
  <si>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</si>
  <si>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</si>
  <si>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</si>
  <si>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</si>
  <si>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</si>
  <si>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</si>
  <si>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</si>
  <si>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</si>
  <si>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</si>
  <si>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</si>
  <si>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</si>
  <si>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</si>
  <si>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</si>
  <si>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</si>
  <si>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</si>
  <si>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</si>
  <si>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</si>
  <si>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</si>
  <si>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</si>
  <si>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</si>
  <si>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</si>
  <si>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</si>
  <si>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</si>
  <si>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</si>
  <si>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</si>
  <si>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</si>
  <si>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</si>
  <si>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</si>
  <si>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</si>
  <si>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</si>
  <si>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</si>
  <si>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</si>
  <si>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</si>
  <si>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</si>
  <si>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</si>
  <si>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</si>
  <si>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</si>
  <si>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</si>
  <si>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</si>
  <si>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</si>
  <si>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</si>
  <si>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</si>
  <si>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</si>
  <si>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</si>
  <si>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</si>
  <si>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</si>
  <si>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</si>
  <si>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</si>
  <si>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</si>
  <si>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</si>
  <si>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</si>
  <si>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</si>
  <si>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</si>
  <si>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</si>
  <si>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</si>
  <si>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</si>
  <si>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</si>
  <si>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</si>
  <si>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</si>
  <si>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</si>
  <si>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</si>
  <si>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</si>
  <si>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</si>
  <si>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</si>
  <si>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</si>
  <si>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</si>
  <si>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</si>
  <si>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</si>
  <si>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</si>
  <si>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</si>
  <si>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</si>
  <si>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</si>
  <si>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</si>
  <si>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</si>
  <si>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</si>
  <si>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</si>
  <si>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</si>
  <si>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</si>
  <si>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</si>
  <si>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</si>
  <si>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</si>
  <si>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</si>
  <si>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</si>
  <si>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</si>
  <si>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</si>
  <si>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</si>
  <si>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</si>
  <si>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</si>
  <si>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</si>
  <si>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</si>
  <si>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</si>
  <si>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</si>
  <si>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</si>
  <si>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</si>
  <si>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</si>
  <si>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</si>
  <si>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</si>
  <si>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</si>
  <si>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</si>
  <si>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</si>
  <si>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</si>
  <si>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</si>
  <si>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</si>
  <si>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</si>
  <si>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</si>
  <si>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</si>
  <si>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</si>
  <si>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</si>
  <si>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</si>
  <si>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</si>
  <si>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</si>
  <si>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</si>
  <si>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</si>
  <si>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</si>
  <si>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</si>
  <si>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</si>
  <si>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</si>
  <si>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</si>
  <si>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</si>
  <si>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</si>
  <si>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</si>
  <si>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</si>
  <si>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</si>
  <si>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</si>
  <si>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</si>
  <si>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</si>
  <si>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</si>
  <si>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</si>
  <si>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</si>
  <si>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</si>
  <si>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</si>
  <si>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</si>
  <si>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</si>
  <si>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</si>
  <si>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</si>
  <si>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</si>
  <si>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</si>
  <si>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</si>
  <si>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</si>
  <si>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</si>
  <si>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</si>
  <si>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</si>
  <si>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</si>
  <si>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</si>
  <si>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</si>
  <si>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</si>
  <si>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</si>
  <si>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</si>
  <si>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</si>
  <si>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</si>
  <si>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</si>
  <si>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</si>
  <si>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</si>
  <si>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</si>
  <si>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</si>
  <si>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</si>
  <si>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</si>
  <si>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</si>
  <si>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</si>
  <si>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</si>
  <si>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</si>
  <si>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</si>
  <si>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</si>
  <si>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</si>
  <si>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</si>
  <si>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</si>
  <si>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</si>
  <si>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</si>
  <si>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</si>
  <si>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</si>
  <si>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</si>
  <si>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</si>
  <si>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</si>
  <si>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</si>
  <si>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</si>
  <si>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</si>
  <si>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</si>
  <si>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</si>
  <si>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</si>
  <si>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</si>
  <si>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</si>
  <si>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</si>
  <si>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</si>
  <si>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</si>
  <si>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</si>
  <si>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</si>
  <si>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</si>
  <si>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</si>
  <si>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</si>
  <si>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</si>
  <si>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</si>
  <si>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</si>
  <si>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</si>
  <si>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</si>
  <si>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</si>
  <si>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</si>
  <si>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</si>
  <si>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</si>
  <si>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</si>
  <si>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</si>
  <si>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</si>
  <si>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</si>
  <si>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</si>
  <si>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</si>
  <si>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</si>
  <si>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</si>
  <si>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</si>
  <si>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</si>
  <si>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</si>
  <si>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</si>
  <si>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</si>
  <si>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</si>
  <si>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</si>
  <si>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</si>
  <si>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</si>
  <si>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</si>
  <si>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</si>
  <si>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</si>
  <si>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</si>
  <si>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</si>
  <si>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</si>
  <si>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</si>
  <si>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</si>
  <si>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</si>
  <si>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</si>
  <si>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</si>
  <si>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</si>
  <si>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</si>
  <si>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</si>
  <si>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</si>
  <si>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</si>
  <si>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</si>
  <si>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</si>
  <si>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</si>
  <si>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</si>
  <si>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</si>
  <si>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</si>
  <si>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</si>
  <si>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</si>
  <si>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</si>
  <si>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</si>
  <si>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</si>
  <si>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</si>
  <si>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</si>
  <si>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</si>
  <si>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</si>
  <si>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</si>
  <si>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</si>
  <si>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</si>
  <si>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</si>
  <si>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</si>
  <si>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</si>
  <si>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</si>
  <si>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</si>
  <si>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</si>
  <si>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</si>
  <si>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</si>
  <si>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</si>
  <si>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</si>
  <si>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</si>
  <si>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</si>
  <si>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</si>
  <si>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</si>
  <si>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</si>
  <si>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</si>
  <si>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</si>
  <si>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</si>
  <si>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</si>
  <si>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</si>
  <si>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</si>
  <si>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</si>
  <si>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</si>
  <si>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</si>
  <si>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</si>
  <si>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</si>
  <si>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</si>
  <si>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</si>
  <si>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</si>
  <si>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</si>
  <si>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</si>
  <si>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</si>
  <si>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</si>
  <si>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</si>
  <si>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</si>
  <si>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</si>
  <si>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</si>
  <si>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</si>
  <si>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</si>
  <si>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</si>
  <si>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</si>
  <si>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</si>
  <si>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</si>
  <si>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</si>
  <si>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</si>
  <si>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</si>
  <si>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</si>
  <si>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</si>
  <si>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</si>
  <si>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</si>
  <si>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</si>
  <si>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</si>
  <si>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</si>
  <si>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</si>
  <si>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</si>
  <si>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</si>
  <si>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</si>
  <si>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</si>
  <si>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</si>
  <si>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</si>
  <si>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</si>
  <si>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</si>
  <si>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</si>
  <si>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</si>
  <si>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</si>
  <si>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</si>
  <si>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</si>
  <si>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</si>
  <si>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</si>
  <si>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</si>
  <si>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</si>
  <si>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</si>
  <si>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</si>
  <si>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</si>
  <si>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</si>
  <si>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</si>
  <si>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</si>
  <si>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</si>
  <si>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</si>
  <si>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</si>
  <si>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</si>
  <si>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</si>
  <si>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</si>
  <si>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</si>
  <si>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</si>
  <si>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</si>
  <si>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</si>
  <si>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</si>
  <si>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</si>
  <si>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</si>
  <si>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</si>
  <si>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</si>
  <si>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</si>
  <si>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</si>
  <si>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</si>
  <si>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</si>
  <si>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</si>
  <si>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</si>
  <si>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</si>
  <si>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</si>
  <si>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</si>
  <si>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</si>
  <si>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</si>
  <si>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</si>
  <si>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</si>
  <si>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</si>
  <si>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</si>
  <si>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</si>
  <si>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</si>
  <si>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</si>
  <si>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</si>
  <si>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</si>
  <si>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</si>
  <si>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</si>
  <si>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</si>
  <si>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</si>
  <si>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</si>
  <si>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</si>
  <si>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</si>
  <si>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</si>
  <si>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</si>
  <si>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</si>
  <si>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</si>
  <si>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</si>
  <si>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</si>
  <si>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</si>
  <si>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</si>
  <si>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</si>
  <si>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</si>
  <si>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</si>
  <si>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</si>
  <si>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</si>
  <si>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</si>
  <si>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</si>
  <si>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</si>
  <si>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</si>
  <si>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</si>
  <si>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</si>
  <si>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</si>
  <si>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</si>
  <si>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</si>
  <si>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</si>
  <si>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</si>
  <si>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</si>
  <si>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</si>
  <si>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</si>
  <si>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</si>
  <si>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</si>
  <si>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</si>
  <si>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</si>
  <si>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</si>
  <si>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</si>
  <si>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</si>
  <si>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</si>
  <si>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</si>
  <si>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</si>
  <si>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</si>
  <si>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</si>
  <si>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</si>
  <si>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</si>
  <si>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</si>
  <si>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</si>
  <si>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</si>
  <si>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</si>
  <si>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</si>
  <si>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</si>
  <si>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</si>
  <si>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</si>
  <si>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</si>
  <si>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</si>
  <si>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</si>
  <si>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</si>
  <si>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</si>
  <si>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</si>
  <si>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</si>
  <si>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</si>
  <si>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</si>
  <si>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</si>
  <si>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</si>
  <si>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</si>
  <si>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</si>
  <si>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</si>
  <si>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</si>
  <si>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</si>
  <si>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</si>
  <si>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</si>
  <si>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</si>
  <si>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</si>
  <si>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</si>
  <si>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</si>
  <si>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</si>
  <si>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</si>
  <si>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</si>
  <si>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</si>
  <si>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</si>
  <si>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</si>
  <si>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</si>
  <si>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</si>
  <si>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</si>
  <si>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</si>
  <si>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</si>
  <si>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</si>
  <si>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</si>
  <si>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</si>
  <si>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</si>
  <si>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</si>
  <si>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</si>
  <si>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</si>
  <si>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</si>
  <si>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</si>
  <si>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</si>
  <si>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</si>
  <si>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</si>
  <si>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</si>
  <si>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</si>
  <si>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</si>
  <si>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</si>
  <si>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</si>
  <si>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</si>
  <si>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</si>
  <si>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</si>
  <si>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</si>
  <si>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</si>
  <si>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</si>
  <si>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</si>
  <si>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</si>
  <si>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</si>
  <si>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</si>
  <si>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</si>
  <si>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</si>
  <si>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</si>
  <si>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</si>
  <si>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</si>
  <si>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</si>
  <si>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</si>
  <si>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</si>
  <si>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</si>
  <si>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</si>
  <si>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</si>
  <si>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</si>
  <si>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</si>
  <si>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</si>
  <si>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</si>
  <si>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</si>
  <si>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</si>
  <si>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</si>
  <si>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</si>
  <si>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</si>
  <si>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</si>
  <si>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</si>
  <si>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</si>
  <si>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</si>
  <si>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</si>
  <si>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</si>
  <si>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</si>
  <si>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</si>
  <si>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</si>
  <si>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</si>
  <si>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</si>
  <si>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</si>
  <si>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</si>
  <si>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</si>
  <si>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</si>
  <si>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</si>
  <si>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</si>
  <si>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</si>
  <si>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</si>
  <si>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</si>
  <si>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</si>
  <si>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</si>
  <si>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</si>
  <si>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</si>
  <si>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</si>
  <si>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</si>
  <si>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</si>
  <si>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</si>
  <si>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</si>
  <si>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</si>
  <si>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</si>
  <si>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</si>
  <si>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</si>
  <si>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</si>
  <si>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</si>
  <si>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</si>
  <si>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</si>
  <si>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</si>
  <si>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</si>
  <si>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</si>
  <si>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</si>
  <si>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</si>
  <si>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</si>
  <si>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</si>
  <si>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</si>
  <si>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</si>
  <si>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</si>
  <si>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</si>
  <si>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</si>
  <si>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</si>
  <si>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</si>
  <si>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</si>
  <si>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</si>
  <si>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</si>
  <si>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</si>
  <si>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</si>
  <si>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</si>
  <si>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</si>
  <si>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</si>
  <si>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</si>
  <si>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</si>
  <si>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</si>
  <si>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</si>
  <si>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</si>
  <si>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</si>
  <si>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</si>
  <si>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</si>
  <si>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</si>
  <si>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</si>
  <si>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</si>
  <si>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</si>
  <si>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</si>
  <si>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</si>
  <si>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</si>
  <si>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</si>
  <si>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</si>
  <si>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</si>
  <si>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</si>
  <si>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</si>
  <si>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</si>
  <si>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</si>
  <si>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</si>
  <si>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</si>
  <si>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</si>
  <si>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</si>
  <si>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</si>
  <si>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</si>
  <si>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</si>
  <si>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</si>
  <si>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</si>
  <si>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</si>
  <si>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</si>
  <si>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</si>
  <si>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</si>
  <si>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</si>
  <si>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</si>
  <si>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</si>
  <si>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</si>
  <si>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</si>
  <si>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</si>
  <si>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</si>
  <si>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</si>
  <si>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</si>
  <si>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</si>
  <si>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</si>
  <si>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</si>
  <si>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</si>
  <si>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</si>
  <si>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</si>
  <si>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</si>
  <si>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</si>
  <si>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</si>
  <si>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</si>
  <si>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</si>
  <si>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</si>
  <si>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</si>
  <si>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</si>
  <si>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</si>
  <si>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</si>
  <si>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</si>
  <si>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</si>
  <si>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</si>
  <si>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</si>
  <si>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</si>
  <si>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</si>
  <si>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</si>
  <si>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</si>
  <si>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</si>
  <si>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</si>
  <si>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</si>
  <si>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</si>
  <si>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</si>
  <si>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</si>
  <si>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</si>
  <si>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</si>
  <si>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</si>
  <si>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</si>
  <si>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</si>
  <si>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</si>
  <si>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</si>
  <si>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</si>
  <si>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</si>
  <si>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</si>
  <si>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</si>
  <si>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</si>
  <si>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</si>
  <si>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</si>
  <si>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</si>
  <si>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</si>
  <si>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</si>
  <si>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</si>
  <si>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</si>
  <si>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</si>
  <si>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</si>
  <si>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</si>
  <si>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</si>
  <si>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</si>
  <si>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</si>
  <si>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</si>
  <si>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</si>
  <si>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</si>
  <si>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</si>
  <si>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</si>
  <si>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</si>
  <si>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</si>
  <si>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</si>
  <si>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</si>
  <si>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</si>
  <si>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</si>
  <si>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</si>
  <si>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</si>
  <si>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</si>
  <si>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</si>
  <si>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</si>
  <si>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</si>
  <si>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</si>
  <si>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</si>
  <si>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</si>
  <si>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</si>
  <si>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</si>
  <si>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</si>
  <si>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</si>
  <si>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</si>
  <si>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</si>
  <si>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</si>
  <si>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</si>
  <si>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</si>
  <si>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</si>
  <si>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</si>
  <si>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</si>
  <si>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</si>
  <si>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</si>
  <si>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</si>
  <si>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</si>
  <si>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</si>
  <si>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</si>
  <si>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</si>
  <si>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</si>
  <si>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</si>
  <si>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</si>
  <si>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</si>
  <si>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</si>
  <si>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</si>
  <si>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</si>
  <si>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</si>
  <si>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</si>
  <si>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</si>
  <si>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</si>
  <si>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</si>
  <si>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</si>
  <si>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</si>
  <si>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</si>
  <si>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</si>
  <si>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</si>
  <si>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</si>
  <si>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</si>
  <si>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</si>
  <si>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</si>
  <si>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</si>
  <si>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</si>
  <si>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</si>
  <si>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</si>
  <si>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</si>
  <si>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</si>
  <si>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</si>
  <si>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</si>
  <si>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</si>
  <si>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</si>
  <si>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</si>
  <si>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</si>
  <si>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</si>
  <si>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</si>
  <si>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</si>
  <si>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</si>
  <si>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</si>
  <si>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</si>
  <si>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</si>
  <si>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</si>
  <si>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</si>
  <si>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</si>
  <si>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</si>
  <si>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</si>
  <si>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</si>
  <si>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</si>
  <si>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</si>
  <si>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</si>
  <si>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</si>
  <si>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</si>
  <si>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</si>
  <si>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</si>
  <si>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</si>
  <si>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</si>
  <si>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</si>
  <si>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</si>
  <si>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</si>
  <si>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</si>
  <si>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</si>
  <si>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</si>
  <si>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</si>
  <si>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</si>
  <si>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</si>
  <si>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</si>
  <si>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</si>
  <si>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</si>
  <si>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</si>
  <si>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</si>
  <si>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</si>
  <si>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</si>
  <si>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</si>
  <si>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</si>
  <si>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</si>
  <si>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</si>
  <si>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</si>
  <si>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</si>
  <si>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</si>
  <si>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</si>
  <si>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</si>
  <si>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</si>
  <si>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</si>
  <si>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</si>
  <si>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</si>
  <si>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</si>
  <si>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</si>
  <si>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</si>
  <si>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</si>
  <si>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</si>
  <si>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</si>
  <si>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</si>
  <si>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</si>
  <si>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</si>
  <si>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</si>
  <si>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</si>
  <si>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</si>
  <si>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</si>
  <si>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</si>
  <si>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</si>
  <si>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</si>
  <si>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</si>
  <si>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</si>
  <si>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</si>
  <si>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</si>
  <si>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</si>
  <si>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</si>
  <si>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</si>
  <si>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</si>
  <si>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</si>
  <si>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</si>
  <si>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</si>
  <si>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</si>
  <si>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</si>
  <si>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</si>
  <si>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</si>
  <si>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</si>
  <si>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</si>
  <si>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</si>
  <si>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</si>
  <si>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</si>
  <si>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</si>
  <si>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</si>
  <si>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</si>
  <si>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</si>
  <si>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</si>
  <si>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</si>
  <si>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</si>
  <si>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</si>
  <si>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</si>
  <si>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</si>
  <si>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</si>
  <si>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</si>
  <si>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</si>
  <si>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</si>
  <si>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</si>
  <si>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</si>
  <si>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</si>
  <si>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</si>
  <si>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</si>
  <si>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</si>
  <si>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</si>
  <si>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</si>
  <si>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</si>
  <si>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</si>
  <si>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</si>
  <si>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</si>
  <si>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</si>
  <si>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</si>
  <si>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</si>
  <si>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</si>
  <si>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</si>
  <si>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</si>
  <si>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</si>
  <si>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</si>
  <si>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</si>
  <si>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</si>
  <si>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</si>
  <si>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</si>
  <si>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</si>
  <si>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</si>
  <si>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</si>
  <si>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</si>
  <si>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</si>
  <si>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</si>
  <si>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</si>
  <si>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</si>
  <si>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</si>
  <si>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</si>
  <si>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</si>
  <si>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</si>
  <si>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</si>
  <si>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</si>
  <si>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</si>
  <si>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</si>
  <si>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</si>
  <si>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</si>
  <si>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</si>
  <si>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</si>
  <si>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</si>
  <si>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</si>
  <si>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</si>
  <si>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</si>
  <si>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</si>
  <si>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</si>
  <si>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</si>
  <si>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</si>
  <si>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</si>
  <si>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</si>
  <si>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</si>
  <si>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</si>
  <si>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</si>
  <si>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</si>
  <si>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</si>
  <si>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</si>
  <si>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</si>
  <si>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</si>
  <si>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</si>
  <si>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</si>
  <si>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</si>
  <si>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</si>
  <si>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</si>
  <si>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</si>
  <si>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</si>
  <si>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</si>
  <si>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</si>
  <si>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</si>
  <si>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</si>
  <si>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</si>
  <si>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</si>
  <si>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</si>
  <si>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</si>
  <si>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</si>
  <si>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</si>
  <si>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</si>
  <si>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</si>
  <si>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</si>
  <si>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</si>
  <si>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</si>
  <si>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</si>
  <si>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</si>
  <si>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</si>
  <si>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</si>
  <si>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</si>
  <si>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</si>
  <si>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</si>
  <si>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</si>
  <si>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</si>
  <si>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</si>
  <si>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</si>
  <si>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</si>
  <si>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</si>
  <si>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</si>
  <si>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</si>
  <si>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</si>
  <si>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</si>
  <si>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</si>
  <si>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</si>
  <si>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</si>
  <si>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</si>
  <si>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</si>
  <si>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</si>
  <si>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</si>
  <si>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</si>
  <si>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</si>
  <si>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</si>
  <si>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</si>
  <si>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</si>
  <si>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</si>
  <si>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</si>
  <si>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</si>
  <si>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</si>
  <si>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</si>
  <si>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</si>
  <si>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</si>
  <si>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</si>
  <si>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</si>
  <si>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</si>
  <si>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</si>
  <si>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</si>
  <si>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</si>
  <si>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</si>
  <si>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</si>
  <si>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</si>
  <si>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</si>
  <si>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</si>
  <si>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</si>
  <si>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</si>
  <si>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</si>
  <si>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</si>
  <si>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</si>
  <si>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</si>
  <si>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</si>
  <si>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</si>
  <si>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</si>
  <si>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</si>
  <si>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</si>
  <si>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</si>
  <si>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</si>
  <si>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</si>
  <si>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</si>
  <si>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</si>
  <si>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</si>
  <si>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</si>
  <si>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</si>
  <si>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</si>
  <si>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</si>
  <si>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</si>
  <si>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</si>
  <si>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</si>
  <si>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</si>
  <si>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</si>
  <si>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</si>
  <si>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</si>
  <si>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</si>
  <si>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</si>
  <si>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</si>
  <si>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</si>
  <si>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</si>
  <si>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</si>
  <si>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</si>
  <si>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</si>
  <si>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</si>
  <si>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</si>
  <si>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</si>
  <si>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</si>
  <si>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</si>
  <si>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</si>
  <si>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</si>
  <si>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</si>
  <si>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</si>
  <si>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</si>
  <si>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</si>
  <si>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</si>
  <si>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</si>
  <si>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</si>
  <si>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</si>
  <si>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</si>
  <si>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</si>
  <si>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</si>
  <si>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</si>
  <si>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</si>
  <si>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</si>
  <si>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</si>
  <si>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</si>
  <si>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</si>
  <si>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</si>
  <si>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</si>
  <si>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</si>
  <si>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</si>
  <si>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</si>
  <si>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</si>
  <si>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</si>
  <si>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</si>
  <si>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</si>
  <si>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</si>
  <si>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</si>
  <si>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</si>
  <si>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</si>
  <si>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</si>
  <si>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</si>
  <si>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</si>
  <si>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</si>
  <si>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</si>
  <si>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</si>
  <si>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</si>
  <si>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</si>
  <si>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</si>
  <si>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</si>
  <si>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</si>
  <si>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</si>
  <si>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</si>
  <si>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</si>
  <si>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</si>
  <si>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</si>
  <si>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</si>
  <si>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</si>
  <si>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</si>
  <si>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</si>
  <si>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</si>
  <si>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</si>
  <si>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</si>
  <si>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</si>
  <si>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</si>
  <si>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</si>
  <si>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</si>
  <si>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</si>
  <si>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</si>
  <si>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</si>
  <si>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</si>
  <si>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</si>
  <si>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</si>
  <si>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</si>
  <si>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</si>
  <si>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</si>
  <si>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</si>
  <si>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</si>
  <si>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</si>
  <si>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</si>
  <si>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</si>
  <si>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</si>
  <si>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</si>
  <si>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</si>
  <si>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</si>
  <si>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</si>
  <si>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</si>
  <si>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</si>
  <si>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</si>
  <si>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</si>
  <si>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</si>
  <si>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</si>
  <si>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</si>
  <si>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</si>
  <si>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</si>
  <si>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</si>
  <si>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</si>
  <si>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</si>
  <si>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</si>
  <si>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</si>
  <si>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</si>
  <si>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</si>
  <si>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</si>
  <si>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</si>
  <si>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</si>
  <si>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</si>
  <si>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</si>
  <si>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</si>
  <si>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</si>
  <si>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</si>
  <si>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</si>
  <si>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</si>
  <si>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</si>
  <si>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</si>
  <si>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</si>
  <si>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</si>
  <si>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</si>
  <si>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</si>
  <si>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</si>
  <si>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</si>
  <si>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</si>
  <si>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</si>
  <si>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</si>
  <si>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</si>
  <si>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</si>
  <si>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</si>
  <si>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</si>
  <si>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</si>
  <si>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</si>
  <si>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</si>
  <si>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</si>
  <si>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</si>
  <si>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</si>
  <si>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</si>
  <si>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</si>
  <si>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</si>
  <si>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</si>
  <si>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</si>
  <si>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</si>
  <si>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</si>
  <si>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</si>
  <si>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</si>
  <si>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</si>
  <si>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</si>
  <si>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</si>
  <si>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</si>
  <si>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</si>
  <si>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</si>
  <si>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</si>
  <si>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</si>
  <si>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</si>
  <si>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</si>
  <si>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</si>
  <si>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</si>
  <si>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</si>
  <si>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</si>
  <si>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</si>
  <si>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</si>
  <si>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</si>
  <si>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</si>
  <si>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</si>
  <si>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</si>
  <si>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</si>
  <si>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</si>
  <si>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</si>
  <si>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</si>
  <si>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</si>
  <si>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</si>
  <si>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</si>
  <si>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</si>
  <si>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</si>
  <si>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</si>
  <si>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</si>
  <si>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</si>
  <si>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</si>
  <si>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</si>
  <si>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</si>
  <si>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</si>
  <si>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</si>
  <si>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</si>
  <si>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</si>
  <si>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</si>
  <si>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</si>
  <si>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</si>
  <si>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</si>
  <si>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</si>
  <si>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</si>
  <si>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</si>
  <si>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</si>
  <si>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</si>
  <si>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</si>
  <si>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</si>
  <si>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</si>
  <si>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</si>
  <si>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</si>
  <si>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</si>
  <si>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</si>
  <si>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</si>
  <si>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</si>
  <si>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</si>
  <si>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</si>
  <si>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</si>
  <si>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</si>
  <si>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</si>
  <si>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</si>
  <si>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</si>
  <si>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</si>
  <si>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</si>
  <si>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</si>
  <si>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</si>
  <si>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</si>
  <si>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</si>
  <si>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</si>
  <si>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</si>
  <si>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</si>
  <si>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</si>
  <si>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</si>
  <si>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</si>
  <si>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</si>
  <si>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</si>
  <si>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</si>
  <si>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</si>
  <si>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</si>
  <si>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</si>
  <si>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</si>
  <si>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</si>
  <si>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</si>
  <si>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</si>
  <si>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</si>
  <si>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</si>
  <si>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</si>
  <si>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</si>
  <si>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</si>
  <si>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</si>
  <si>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</si>
  <si>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</si>
  <si>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</si>
  <si>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</si>
  <si>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</si>
  <si>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</si>
  <si>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</si>
  <si>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</si>
  <si>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</si>
  <si>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</si>
  <si>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</si>
  <si>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</si>
  <si>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</si>
  <si>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</si>
  <si>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</si>
  <si>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</si>
  <si>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</si>
  <si>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</si>
  <si>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</si>
  <si>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</si>
  <si>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</si>
  <si>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</si>
  <si>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</si>
  <si>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</si>
  <si>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</si>
  <si>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</si>
  <si>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</si>
  <si>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</si>
  <si>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</si>
  <si>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</si>
  <si>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</si>
  <si>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</si>
  <si>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</si>
  <si>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</si>
  <si>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</si>
  <si>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</si>
  <si>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</si>
  <si>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</si>
  <si>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</si>
  <si>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</si>
  <si>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</si>
  <si>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</si>
  <si>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</si>
  <si>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</si>
  <si>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</si>
  <si>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</si>
  <si>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</si>
  <si>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</si>
  <si>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</si>
  <si>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</si>
  <si>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</si>
  <si>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</si>
  <si>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</si>
  <si>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</si>
  <si>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</si>
  <si>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</si>
  <si>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</si>
  <si>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</si>
  <si>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</si>
  <si>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</si>
  <si>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</si>
  <si>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</si>
  <si>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</si>
  <si>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</si>
  <si>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</si>
  <si>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</si>
  <si>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</si>
  <si>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</si>
  <si>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</si>
  <si>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</si>
  <si>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</si>
  <si>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</si>
  <si>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</si>
  <si>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</si>
  <si>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</si>
  <si>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</si>
  <si>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</si>
  <si>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</si>
  <si>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</si>
  <si>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</si>
  <si>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</si>
  <si>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</si>
  <si>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</si>
  <si>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</si>
  <si>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</si>
  <si>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</si>
  <si>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</si>
  <si>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</si>
  <si>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</si>
  <si>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</si>
  <si>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</si>
  <si>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</si>
  <si>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</si>
  <si>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</si>
  <si>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</si>
  <si>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</si>
  <si>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</si>
  <si>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</si>
  <si>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</si>
  <si>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</si>
  <si>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</si>
  <si>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</si>
  <si>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</si>
  <si>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</si>
  <si>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</si>
  <si>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</si>
  <si>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</si>
  <si>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</si>
  <si>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</si>
  <si>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</si>
  <si>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</si>
  <si>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</si>
  <si>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</si>
  <si>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</si>
  <si>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</si>
  <si>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</si>
  <si>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</si>
  <si>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</si>
  <si>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</si>
  <si>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</si>
  <si>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</si>
  <si>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</si>
  <si>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</si>
  <si>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</si>
  <si>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</si>
  <si>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</si>
  <si>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</si>
  <si>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</si>
  <si>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</si>
  <si>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</si>
  <si>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</si>
  <si>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</si>
  <si>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</si>
  <si>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</si>
  <si>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</si>
  <si>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</si>
  <si>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</si>
  <si>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</si>
  <si>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</si>
  <si>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</si>
  <si>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</si>
  <si>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</si>
  <si>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</si>
  <si>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</si>
  <si>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</si>
  <si>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</si>
  <si>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</si>
  <si>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</si>
  <si>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</si>
  <si>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</si>
  <si>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</si>
  <si>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</si>
  <si>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</si>
  <si>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</si>
  <si>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</si>
  <si>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</si>
  <si>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</si>
  <si>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</si>
  <si>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</si>
  <si>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</si>
  <si>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</si>
  <si>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</si>
  <si>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</si>
  <si>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</si>
  <si>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</si>
  <si>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</si>
  <si>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</si>
  <si>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</si>
  <si>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</si>
  <si>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</si>
  <si>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</si>
  <si>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</si>
  <si>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</si>
  <si>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</si>
  <si>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</si>
  <si>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</si>
  <si>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</si>
  <si>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</si>
  <si>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</si>
  <si>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</si>
  <si>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</si>
  <si>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</si>
  <si>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</si>
  <si>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</si>
  <si>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</si>
  <si>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</si>
  <si>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</si>
  <si>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</si>
  <si>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</si>
  <si>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</si>
  <si>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</si>
  <si>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</si>
  <si>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</si>
  <si>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</si>
  <si>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</si>
  <si>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</si>
  <si>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</si>
  <si>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</si>
  <si>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</si>
  <si>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</si>
  <si>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</si>
  <si>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</si>
  <si>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</si>
  <si>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</si>
  <si>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</si>
  <si>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</si>
  <si>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</si>
  <si>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</si>
  <si>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</si>
  <si>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</si>
  <si>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</si>
  <si>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</si>
  <si>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</si>
  <si>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</si>
  <si>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</si>
  <si>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</si>
  <si>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</si>
  <si>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</si>
  <si>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</si>
  <si>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</si>
  <si>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</si>
  <si>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</si>
  <si>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</si>
  <si>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</si>
  <si>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</si>
  <si>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</si>
  <si>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</si>
  <si>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</si>
  <si>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</si>
  <si>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</si>
  <si>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</si>
  <si>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</si>
  <si>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</si>
  <si>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</si>
  <si>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</si>
  <si>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</si>
  <si>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</si>
  <si>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</si>
  <si>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</si>
  <si>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</si>
  <si>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</si>
  <si>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</si>
  <si>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</si>
  <si>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</si>
  <si>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</si>
  <si>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</si>
  <si>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</si>
  <si>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</si>
  <si>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</si>
  <si>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</si>
  <si>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</si>
  <si>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</si>
  <si>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</si>
  <si>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</si>
  <si>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</si>
  <si>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</si>
  <si>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</si>
  <si>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</si>
  <si>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</si>
  <si>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</si>
  <si>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</si>
  <si>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</si>
  <si>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</si>
  <si>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</si>
  <si>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</si>
  <si>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</si>
  <si>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</si>
  <si>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</si>
  <si>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</si>
  <si>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</si>
  <si>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</si>
  <si>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</si>
  <si>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</si>
  <si>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</si>
  <si>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</si>
  <si>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</si>
  <si>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</si>
  <si>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</si>
  <si>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</si>
  <si>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</si>
  <si>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</si>
  <si>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</si>
  <si>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</si>
  <si>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</si>
  <si>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</si>
  <si>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</si>
  <si>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</si>
  <si>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</si>
  <si>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</si>
  <si>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</si>
  <si>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</si>
  <si>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</si>
  <si>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</si>
  <si>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</si>
  <si>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</si>
  <si>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</si>
  <si>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</si>
  <si>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</si>
  <si>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</si>
  <si>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</si>
  <si>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</si>
  <si>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</si>
  <si>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</si>
  <si>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</si>
  <si>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</si>
  <si>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</si>
  <si>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</si>
  <si>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</si>
  <si>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</si>
  <si>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</si>
  <si>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</si>
  <si>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</si>
  <si>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</si>
  <si>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</si>
  <si>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</si>
  <si>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</si>
  <si>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</si>
  <si>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</si>
  <si>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</si>
  <si>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</si>
  <si>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</si>
  <si>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</si>
  <si>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</si>
  <si>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</si>
  <si>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</si>
  <si>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</si>
  <si>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</si>
  <si>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</si>
  <si>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</si>
  <si>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</si>
  <si>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</si>
  <si>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</si>
  <si>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</si>
  <si>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</si>
  <si>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</si>
  <si>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</si>
  <si>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</si>
  <si>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</si>
  <si>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</si>
  <si>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</si>
  <si>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</si>
  <si>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</si>
  <si>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</si>
  <si>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</si>
  <si>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</si>
  <si>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</si>
  <si>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</si>
  <si>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</si>
  <si>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</si>
  <si>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</si>
  <si>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</si>
  <si>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</si>
  <si>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</si>
  <si>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</si>
  <si>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</si>
  <si>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</si>
  <si>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</si>
  <si>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</si>
  <si>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</si>
  <si>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</si>
  <si>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</si>
  <si>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</si>
  <si>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</si>
  <si>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</si>
  <si>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</si>
  <si>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</si>
  <si>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</si>
  <si>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</si>
  <si>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</si>
  <si>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</si>
  <si>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</si>
  <si>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</si>
  <si>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</si>
  <si>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</si>
  <si>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</si>
  <si>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</si>
  <si>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</si>
  <si>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</si>
  <si>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</si>
  <si>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</si>
  <si>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</si>
  <si>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</si>
  <si>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</si>
  <si>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</si>
  <si>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</si>
  <si>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</si>
  <si>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</si>
  <si>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</si>
  <si>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</si>
  <si>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</si>
  <si>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</si>
  <si>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</si>
  <si>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</si>
  <si>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</si>
  <si>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</si>
  <si>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</si>
  <si>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</si>
  <si>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</si>
  <si>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</si>
  <si>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</si>
  <si>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</si>
  <si>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</si>
  <si>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</si>
  <si>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</si>
  <si>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</si>
  <si>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</si>
  <si>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</si>
  <si>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</si>
  <si>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</si>
  <si>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</si>
  <si>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</si>
  <si>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</si>
  <si>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</si>
  <si>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</si>
  <si>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</si>
  <si>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</si>
  <si>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</si>
  <si>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</si>
  <si>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</si>
  <si>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</si>
  <si>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</si>
  <si>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</si>
  <si>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</si>
  <si>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</si>
  <si>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</si>
  <si>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</si>
  <si>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</si>
  <si>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</si>
  <si>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</si>
  <si>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</si>
  <si>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</si>
  <si>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</si>
  <si>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</si>
  <si>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</si>
  <si>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</si>
  <si>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</si>
  <si>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</si>
  <si>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</si>
  <si>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</si>
  <si>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</si>
  <si>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</si>
  <si>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</si>
  <si>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</si>
  <si>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</si>
  <si>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</si>
  <si>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</si>
  <si>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</si>
  <si>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</si>
  <si>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</si>
  <si>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</si>
  <si>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</si>
  <si>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</si>
  <si>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</si>
  <si>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</si>
  <si>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</si>
  <si>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</si>
  <si>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</si>
  <si>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</si>
  <si>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</si>
  <si>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</si>
  <si>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</si>
  <si>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</si>
  <si>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</si>
  <si>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</si>
  <si>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</si>
  <si>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</si>
  <si>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</si>
  <si>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</si>
  <si>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</si>
  <si>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</si>
  <si>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</si>
  <si>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</si>
  <si>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</si>
  <si>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</si>
  <si>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</si>
  <si>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</si>
  <si>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</si>
  <si>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</si>
  <si>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</si>
  <si>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</si>
  <si>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</si>
  <si>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</si>
  <si>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</si>
  <si>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</si>
  <si>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</si>
  <si>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</si>
  <si>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</si>
  <si>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</si>
  <si>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</si>
  <si>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</si>
  <si>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</si>
  <si>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</si>
  <si>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</si>
  <si>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</si>
  <si>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</si>
  <si>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</si>
  <si>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</si>
  <si>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</si>
  <si>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</si>
  <si>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</si>
  <si>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</si>
  <si>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</si>
  <si>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</si>
  <si>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</si>
  <si>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</si>
  <si>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</si>
  <si>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</si>
  <si>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</si>
  <si>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</si>
  <si>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</si>
  <si>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</si>
  <si>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</si>
  <si>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</si>
  <si>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</si>
  <si>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</si>
  <si>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</si>
  <si>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</si>
  <si>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</si>
  <si>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</si>
  <si>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</si>
  <si>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</si>
  <si>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</si>
  <si>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</si>
  <si>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</si>
  <si>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</si>
  <si>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</si>
  <si>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</si>
  <si>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</si>
  <si>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</si>
  <si>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</si>
  <si>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</si>
  <si>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</si>
  <si>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</si>
  <si>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</si>
  <si>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</si>
  <si>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</si>
  <si>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</si>
  <si>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</si>
  <si>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</si>
  <si>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</si>
  <si>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</si>
  <si>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</si>
  <si>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</si>
  <si>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</si>
  <si>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</si>
  <si>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</si>
  <si>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</si>
  <si>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</si>
  <si>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</si>
  <si>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</si>
  <si>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</si>
  <si>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</si>
  <si>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</si>
  <si>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</si>
  <si>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</si>
  <si>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</si>
  <si>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</si>
  <si>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</si>
  <si>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</si>
  <si>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</si>
  <si>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</si>
  <si>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</si>
  <si>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</si>
  <si>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</si>
  <si>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</si>
  <si>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</si>
  <si>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</si>
  <si>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</si>
  <si>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</si>
  <si>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</si>
  <si>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</si>
  <si>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</si>
  <si>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</si>
  <si>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</si>
  <si>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</si>
  <si>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</si>
  <si>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</si>
  <si>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</si>
  <si>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</si>
  <si>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</si>
  <si>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</si>
  <si>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</si>
  <si>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</si>
  <si>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</si>
  <si>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</si>
  <si>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</si>
  <si>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</si>
  <si>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</si>
  <si>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</si>
  <si>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</si>
  <si>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</si>
  <si>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</si>
  <si>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</si>
  <si>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</si>
  <si>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</si>
  <si>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</si>
  <si>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</si>
  <si>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</si>
  <si>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</si>
  <si>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</si>
  <si>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</si>
  <si>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</si>
  <si>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</si>
  <si>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</si>
  <si>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</si>
  <si>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</si>
  <si>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</si>
  <si>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</si>
  <si>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</si>
  <si>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</si>
  <si>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</si>
  <si>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</si>
  <si>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</si>
  <si>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</si>
  <si>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</si>
  <si>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</si>
  <si>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</si>
  <si>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</si>
  <si>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</si>
  <si>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</si>
  <si>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</si>
  <si>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</si>
  <si>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</si>
  <si>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</si>
  <si>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</si>
  <si>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</si>
  <si>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</si>
  <si>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</si>
  <si>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</si>
  <si>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</si>
  <si>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</si>
  <si>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</si>
  <si>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</si>
  <si>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</si>
  <si>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</si>
  <si>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</si>
  <si>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</si>
  <si>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</si>
  <si>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</si>
  <si>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</si>
  <si>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</si>
  <si>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</si>
  <si>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</si>
  <si>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</si>
  <si>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</si>
  <si>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</si>
  <si>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</si>
  <si>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</si>
  <si>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</si>
  <si>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</si>
  <si>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</si>
  <si>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</si>
  <si>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</si>
  <si>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</si>
  <si>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</si>
  <si>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</si>
  <si>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</si>
  <si>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</si>
  <si>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</si>
  <si>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</si>
  <si>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</si>
  <si>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</si>
  <si>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</si>
  <si>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</si>
  <si>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</si>
  <si>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</si>
  <si>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</si>
  <si>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</si>
  <si>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</si>
  <si>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</si>
  <si>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</si>
  <si>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</si>
  <si>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</si>
  <si>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</si>
  <si>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</si>
  <si>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</si>
  <si>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</si>
  <si>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</si>
  <si>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</si>
  <si>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</si>
  <si>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</si>
  <si>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</si>
  <si>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</si>
  <si>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</si>
  <si>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</si>
  <si>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</si>
  <si>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</si>
  <si>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</si>
  <si>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</si>
  <si>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</si>
  <si>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</si>
  <si>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</si>
  <si>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</si>
  <si>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</si>
  <si>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</si>
  <si>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</si>
  <si>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</si>
  <si>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</si>
  <si>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</si>
  <si>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</si>
  <si>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</si>
  <si>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</si>
  <si>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</si>
  <si>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</si>
  <si>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</si>
  <si>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</si>
  <si>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</si>
  <si>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</si>
  <si>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</si>
  <si>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</si>
  <si>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</si>
  <si>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</si>
  <si>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</si>
  <si>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</si>
  <si>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</si>
  <si>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</si>
  <si>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</si>
  <si>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</si>
  <si>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</si>
  <si>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</si>
  <si>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</si>
  <si>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</si>
  <si>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</si>
  <si>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</si>
  <si>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</si>
  <si>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</si>
  <si>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</si>
  <si>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</si>
  <si>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</si>
  <si>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</si>
  <si>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</si>
  <si>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</si>
  <si>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</si>
  <si>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</si>
  <si>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</si>
  <si>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</si>
  <si>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</si>
  <si>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</si>
  <si>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</si>
  <si>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</si>
  <si>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</si>
  <si>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</si>
  <si>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</si>
  <si>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</si>
  <si>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</si>
  <si>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</si>
  <si>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</si>
  <si>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</si>
  <si>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</si>
  <si>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</si>
  <si>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</si>
  <si>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</si>
  <si>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</si>
  <si>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</si>
  <si>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</si>
  <si>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</si>
  <si>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</si>
  <si>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</si>
  <si>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</si>
  <si>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</si>
  <si>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</si>
  <si>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</si>
  <si>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</si>
  <si>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</si>
  <si>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</si>
  <si>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</si>
  <si>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</si>
  <si>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</si>
  <si>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</si>
  <si>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</si>
  <si>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</si>
  <si>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</si>
  <si>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</si>
  <si>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</si>
  <si>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</si>
  <si>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</si>
  <si>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</si>
  <si>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</si>
  <si>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</si>
  <si>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</si>
  <si>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</si>
  <si>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</si>
  <si>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</si>
  <si>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</si>
  <si>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</si>
  <si>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</si>
  <si>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</si>
  <si>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</si>
  <si>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</si>
  <si>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</si>
  <si>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</si>
  <si>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</si>
  <si>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</si>
  <si>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</si>
  <si>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</si>
  <si>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</si>
  <si>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</si>
  <si>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</si>
  <si>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</si>
  <si>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</si>
  <si>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</si>
  <si>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</si>
  <si>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</si>
  <si>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</si>
  <si>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</si>
  <si>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</si>
  <si>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</si>
  <si>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</si>
  <si>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</si>
  <si>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</si>
  <si>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</si>
  <si>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</si>
  <si>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</si>
  <si>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</si>
  <si>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</si>
  <si>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</si>
  <si>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</si>
  <si>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</si>
  <si>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</si>
  <si>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</si>
  <si>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</si>
  <si>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</si>
  <si>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</si>
  <si>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</si>
  <si>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</si>
  <si>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</si>
  <si>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</si>
  <si>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</si>
  <si>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</si>
  <si>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</si>
  <si>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</si>
  <si>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</si>
  <si>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</si>
  <si>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</si>
  <si>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</si>
  <si>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</si>
  <si>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</si>
  <si>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</si>
  <si>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</si>
  <si>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</si>
  <si>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</si>
  <si>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</si>
  <si>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</si>
  <si>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</si>
  <si>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</si>
  <si>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</si>
  <si>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</si>
  <si>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</si>
  <si>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</si>
  <si>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</si>
  <si>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</si>
  <si>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</si>
  <si>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</si>
  <si>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</si>
  <si>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</si>
  <si>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</si>
  <si>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</si>
  <si>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</si>
  <si>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</si>
  <si>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</si>
  <si>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</si>
  <si>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</si>
  <si>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</si>
  <si>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</si>
  <si>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</si>
  <si>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</si>
  <si>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</si>
  <si>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</si>
  <si>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</si>
  <si>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</si>
  <si>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</si>
  <si>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</si>
  <si>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</si>
  <si>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</si>
  <si>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</si>
  <si>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</si>
  <si>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</si>
  <si>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</si>
  <si>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</si>
  <si>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</si>
  <si>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</si>
  <si>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</si>
  <si>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</si>
  <si>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</si>
  <si>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</si>
  <si>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</si>
  <si>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</si>
  <si>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</si>
  <si>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</si>
  <si>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</si>
  <si>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</si>
  <si>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</si>
  <si>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</si>
  <si>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</si>
  <si>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</si>
  <si>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</si>
  <si>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</si>
  <si>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</si>
  <si>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</si>
  <si>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</si>
  <si>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</si>
  <si>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</si>
  <si>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</si>
  <si>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</si>
  <si>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</si>
  <si>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</si>
  <si>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</si>
  <si>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</si>
  <si>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</si>
  <si>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</si>
  <si>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</si>
  <si>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</si>
  <si>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</si>
  <si>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</si>
  <si>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</si>
  <si>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</si>
  <si>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</si>
  <si>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</si>
  <si>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</si>
  <si>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</si>
  <si>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</si>
  <si>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</si>
  <si>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</si>
  <si>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</si>
  <si>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</si>
  <si>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</si>
  <si>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</si>
  <si>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</si>
  <si>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</si>
  <si>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</si>
  <si>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</si>
  <si>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</si>
  <si>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</si>
  <si>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</si>
  <si>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</si>
  <si>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</si>
  <si>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</si>
  <si>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</si>
  <si>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</si>
  <si>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</si>
  <si>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</si>
  <si>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</si>
  <si>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</si>
  <si>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</si>
  <si>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</si>
  <si>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</si>
  <si>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</si>
  <si>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</si>
  <si>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</si>
  <si>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</si>
  <si>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</si>
  <si>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</si>
  <si>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</si>
  <si>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</si>
  <si>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</si>
  <si>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</si>
  <si>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</si>
  <si>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</si>
  <si>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</si>
  <si>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</si>
  <si>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</si>
  <si>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</si>
  <si>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</si>
  <si>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</si>
  <si>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</si>
  <si>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</si>
  <si>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</si>
  <si>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</si>
  <si>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</si>
  <si>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</si>
  <si>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</si>
  <si>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</si>
  <si>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</si>
  <si>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</si>
  <si>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</si>
  <si>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</si>
  <si>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</si>
  <si>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</si>
  <si>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</si>
  <si>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</si>
  <si>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</si>
  <si>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</si>
  <si>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</si>
  <si>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</si>
  <si>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</si>
  <si>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</si>
  <si>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</si>
  <si>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</si>
  <si>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</si>
  <si>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</si>
  <si>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</si>
  <si>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</si>
  <si>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</si>
  <si>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</si>
  <si>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</si>
  <si>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</si>
  <si>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</si>
  <si>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</si>
  <si>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</si>
  <si>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</si>
  <si>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</si>
  <si>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</si>
  <si>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</si>
  <si>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</si>
  <si>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</si>
  <si>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</si>
  <si>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</si>
  <si>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</si>
  <si>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</si>
  <si>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</si>
  <si>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</si>
  <si>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</si>
  <si>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</si>
  <si>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</si>
  <si>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</si>
  <si>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</si>
  <si>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</si>
  <si>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</si>
  <si>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</si>
  <si>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</si>
  <si>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</si>
  <si>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</si>
  <si>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</si>
  <si>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</si>
  <si>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</si>
  <si>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</si>
  <si>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</si>
  <si>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</si>
  <si>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</si>
  <si>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</si>
  <si>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</si>
  <si>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</si>
  <si>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</si>
  <si>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</si>
  <si>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</si>
  <si>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</si>
  <si>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</si>
  <si>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</si>
  <si>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</si>
  <si>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</si>
  <si>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</si>
  <si>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</si>
  <si>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</si>
  <si>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</si>
  <si>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</si>
  <si>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</si>
  <si>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</si>
  <si>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</si>
  <si>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</si>
  <si>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</si>
  <si>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</si>
  <si>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</si>
  <si>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</si>
  <si>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</si>
  <si>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</si>
  <si>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</si>
  <si>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</si>
  <si>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</si>
  <si>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</si>
  <si>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</si>
  <si>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</si>
  <si>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</si>
  <si>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</si>
  <si>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</si>
  <si>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</si>
  <si>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</si>
  <si>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</si>
  <si>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</si>
  <si>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</si>
  <si>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</si>
  <si>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</si>
  <si>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</si>
  <si>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</si>
  <si>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</si>
  <si>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</si>
  <si>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</si>
  <si>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</si>
  <si>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</si>
  <si>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</si>
  <si>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</si>
  <si>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</si>
  <si>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</si>
  <si>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</si>
  <si>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</si>
  <si>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</si>
  <si>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</si>
  <si>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</si>
  <si>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</si>
  <si>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</si>
  <si>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</si>
  <si>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</si>
  <si>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</si>
  <si>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</si>
  <si>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</si>
  <si>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</si>
  <si>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</si>
  <si>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</si>
  <si>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</si>
  <si>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</si>
  <si>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</si>
  <si>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</si>
  <si>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</si>
  <si>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</si>
  <si>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</si>
  <si>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</si>
  <si>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</si>
  <si>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</si>
  <si>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</si>
  <si>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</si>
  <si>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</si>
  <si>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</si>
  <si>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</si>
  <si>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</si>
  <si>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</si>
  <si>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</si>
  <si>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</si>
  <si>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</si>
  <si>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</si>
  <si>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</si>
  <si>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</si>
  <si>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</si>
  <si>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</si>
  <si>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</si>
  <si>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</si>
  <si>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</si>
  <si>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</si>
  <si>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</si>
  <si>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</si>
  <si>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</si>
  <si>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</si>
  <si>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</si>
  <si>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</si>
  <si>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</si>
  <si>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</si>
  <si>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</si>
  <si>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</si>
  <si>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</si>
  <si>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</si>
  <si>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</si>
  <si>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</si>
  <si>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</si>
  <si>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</si>
  <si>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</si>
  <si>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</si>
  <si>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</si>
  <si>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</si>
  <si>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</si>
  <si>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</si>
  <si>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</si>
  <si>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</si>
  <si>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</si>
  <si>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</si>
  <si>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</si>
  <si>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</si>
  <si>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</si>
  <si>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</si>
  <si>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</si>
  <si>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</si>
  <si>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</si>
  <si>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</si>
  <si>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</si>
  <si>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</si>
  <si>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</si>
  <si>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</si>
  <si>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</si>
  <si>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</si>
  <si>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</si>
  <si>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</si>
  <si>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</si>
  <si>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</si>
  <si>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</si>
  <si>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</si>
  <si>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</si>
  <si>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</si>
  <si>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</si>
  <si>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</si>
  <si>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</si>
  <si>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</si>
  <si>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</si>
  <si>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</si>
  <si>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</si>
  <si>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</si>
  <si>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</si>
  <si>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</si>
  <si>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</si>
  <si>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</si>
  <si>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</si>
  <si>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</si>
  <si>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</si>
  <si>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</si>
  <si>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</si>
  <si>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</si>
  <si>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</si>
  <si>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</si>
  <si>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</si>
  <si>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</si>
  <si>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</si>
  <si>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</si>
  <si>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</si>
  <si>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</si>
  <si>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</si>
  <si>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</si>
  <si>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</si>
  <si>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</si>
  <si>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</si>
  <si>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</si>
  <si>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</si>
  <si>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</si>
  <si>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</si>
  <si>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</si>
  <si>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</si>
  <si>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</si>
  <si>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</si>
  <si>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</si>
  <si>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</si>
  <si>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</si>
  <si>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</si>
  <si>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</si>
  <si>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</si>
  <si>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</si>
  <si>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</si>
  <si>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</si>
  <si>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</si>
  <si>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</si>
  <si>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</si>
  <si>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</si>
  <si>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</si>
  <si>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</si>
  <si>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</si>
  <si>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</si>
  <si>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</si>
  <si>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</si>
  <si>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</si>
  <si>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</si>
  <si>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</si>
  <si>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</si>
  <si>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</si>
  <si>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</si>
  <si>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</si>
  <si>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</si>
  <si>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</si>
  <si>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</si>
  <si>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</si>
  <si>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</si>
  <si>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</si>
  <si>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</si>
  <si>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</si>
  <si>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</si>
  <si>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</si>
  <si>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</si>
  <si>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</si>
  <si>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</si>
  <si>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</si>
  <si>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</si>
  <si>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</si>
  <si>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</si>
  <si>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</si>
  <si>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</si>
  <si>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</si>
  <si>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</si>
  <si>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</si>
  <si>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</si>
  <si>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</si>
  <si>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</si>
  <si>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</si>
  <si>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</si>
  <si>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</si>
  <si>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</si>
  <si>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</si>
  <si>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</si>
  <si>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</si>
  <si>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</si>
  <si>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</si>
  <si>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</si>
  <si>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</si>
  <si>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</si>
  <si>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</si>
  <si>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</si>
  <si>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</si>
  <si>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</si>
  <si>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</si>
  <si>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</si>
  <si>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</si>
  <si>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</si>
  <si>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</si>
  <si>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</si>
  <si>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</si>
  <si>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</si>
  <si>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</si>
  <si>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</si>
  <si>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</si>
  <si>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</si>
  <si>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</si>
  <si>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</si>
  <si>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</si>
  <si>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</si>
  <si>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</si>
  <si>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</si>
  <si>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</si>
  <si>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</si>
  <si>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</si>
  <si>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</si>
  <si>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</si>
  <si>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</si>
  <si>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</si>
  <si>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</si>
  <si>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</si>
  <si>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</si>
  <si>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</si>
  <si>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</si>
  <si>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</si>
  <si>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</si>
  <si>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</si>
  <si>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</si>
  <si>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</si>
  <si>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</si>
  <si>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</si>
  <si>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</si>
  <si>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</si>
  <si>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</si>
  <si>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</si>
  <si>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</si>
  <si>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</si>
  <si>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</si>
  <si>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</si>
  <si>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</si>
  <si>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</si>
  <si>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</si>
  <si>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</si>
  <si>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</si>
  <si>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</si>
  <si>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</si>
  <si>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</si>
  <si>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</si>
  <si>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</si>
  <si>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</si>
  <si>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</si>
  <si>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</si>
  <si>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</si>
  <si>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</si>
  <si>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</si>
  <si>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</si>
  <si>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</si>
  <si>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</si>
  <si>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</si>
  <si>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</si>
  <si>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</si>
  <si>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</si>
  <si>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</si>
  <si>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</si>
  <si>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</si>
  <si>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</si>
  <si>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</si>
  <si>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</si>
  <si>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</si>
  <si>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</si>
  <si>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</si>
  <si>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</si>
  <si>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</si>
  <si>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</si>
  <si>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</si>
  <si>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</si>
  <si>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</si>
  <si>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</si>
  <si>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</si>
  <si>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</si>
  <si>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</si>
  <si>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</si>
  <si>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</si>
  <si>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</si>
  <si>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</si>
  <si>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</si>
  <si>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</si>
  <si>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</si>
  <si>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</si>
  <si>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</si>
  <si>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</si>
  <si>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</si>
  <si>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</si>
  <si>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</si>
  <si>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</si>
  <si>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</si>
  <si>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</si>
  <si>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</si>
  <si>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</si>
  <si>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</si>
  <si>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</si>
  <si>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</si>
  <si>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</si>
  <si>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</si>
  <si>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</si>
  <si>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</si>
  <si>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</si>
  <si>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</si>
  <si>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</si>
  <si>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</si>
  <si>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</si>
  <si>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</si>
  <si>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</si>
  <si>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</si>
  <si>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</si>
  <si>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</si>
  <si>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</si>
  <si>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</si>
  <si>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</si>
  <si>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</si>
  <si>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</si>
  <si>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</si>
  <si>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</si>
  <si>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</si>
  <si>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</si>
  <si>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</si>
  <si>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</si>
  <si>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</si>
  <si>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</si>
  <si>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</si>
  <si>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</si>
  <si>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</si>
  <si>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</si>
  <si>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</si>
  <si>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</si>
  <si>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</si>
  <si>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</si>
  <si>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</si>
  <si>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</si>
  <si>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</si>
  <si>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</si>
  <si>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</si>
  <si>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</si>
  <si>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</si>
  <si>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</si>
  <si>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</si>
  <si>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</si>
  <si>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</si>
  <si>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</si>
  <si>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</si>
  <si>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</si>
  <si>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</si>
  <si>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</si>
  <si>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</si>
  <si>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</si>
  <si>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</si>
  <si>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</si>
  <si>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</si>
  <si>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</si>
  <si>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</si>
  <si>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</si>
  <si>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</si>
  <si>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</si>
  <si>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</si>
  <si>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</si>
  <si>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</si>
  <si>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</si>
  <si>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</si>
  <si>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</si>
  <si>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</si>
  <si>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</si>
  <si>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</si>
  <si>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</si>
  <si>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</si>
  <si>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</si>
  <si>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</si>
  <si>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</si>
  <si>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</si>
  <si>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</si>
  <si>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</si>
  <si>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</si>
  <si>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</si>
  <si>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</si>
  <si>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</si>
  <si>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</si>
  <si>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</si>
  <si>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</si>
  <si>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</si>
  <si>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</si>
  <si>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</si>
  <si>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</si>
  <si>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</si>
  <si>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</si>
  <si>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</si>
  <si>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</si>
  <si>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</si>
  <si>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</si>
  <si>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</si>
  <si>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</si>
  <si>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</si>
  <si>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</si>
  <si>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</si>
  <si>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</si>
  <si>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</si>
  <si>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</si>
  <si>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</si>
  <si>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</si>
  <si>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</si>
  <si>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</si>
  <si>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</si>
  <si>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</si>
  <si>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</si>
  <si>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</si>
  <si>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</si>
  <si>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</si>
  <si>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</si>
  <si>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</si>
  <si>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</si>
  <si>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</si>
  <si>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</si>
  <si>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</si>
  <si>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</si>
  <si>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</si>
  <si>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</si>
  <si>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</si>
  <si>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</si>
  <si>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</si>
  <si>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</si>
  <si>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</si>
  <si>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</si>
  <si>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</si>
  <si>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</si>
  <si>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</si>
  <si>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</si>
  <si>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</si>
  <si>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</si>
  <si>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</si>
  <si>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</si>
  <si>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</si>
  <si>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</si>
  <si>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</si>
  <si>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</si>
  <si>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</si>
  <si>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</si>
  <si>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</si>
  <si>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</si>
  <si>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</si>
  <si>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</si>
  <si>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</si>
  <si>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</si>
  <si>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</si>
  <si>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</si>
  <si>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</si>
  <si>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</si>
  <si>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</si>
  <si>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</si>
  <si>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</si>
  <si>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</si>
  <si>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</si>
  <si>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</si>
  <si>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</si>
  <si>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</si>
  <si>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</si>
  <si>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</si>
  <si>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</si>
  <si>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</si>
  <si>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</si>
  <si>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</si>
  <si>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</si>
  <si>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</si>
  <si>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</si>
  <si>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</si>
  <si>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</si>
  <si>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</si>
  <si>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</si>
  <si>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</si>
  <si>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</si>
  <si>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</si>
  <si>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</si>
  <si>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</si>
  <si>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</si>
  <si>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</si>
  <si>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</si>
  <si>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</si>
  <si>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</si>
  <si>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</si>
  <si>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</si>
  <si>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</si>
  <si>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</si>
  <si>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</si>
  <si>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</si>
  <si>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</si>
  <si>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</si>
  <si>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</si>
  <si>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</si>
  <si>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</si>
  <si>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</si>
  <si>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</si>
  <si>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</si>
  <si>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</si>
  <si>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</si>
  <si>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</si>
  <si>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</si>
  <si>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</si>
  <si>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</si>
  <si>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</si>
  <si>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</si>
  <si>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</si>
  <si>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</si>
  <si>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</si>
  <si>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</si>
  <si>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</si>
  <si>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</si>
  <si>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</si>
  <si>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</si>
  <si>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</si>
  <si>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</si>
  <si>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</si>
  <si>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</si>
  <si>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</si>
  <si>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</si>
  <si>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</si>
  <si>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</si>
  <si>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</si>
  <si>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</si>
  <si>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</si>
  <si>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</si>
  <si>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</si>
  <si>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</si>
  <si>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</si>
  <si>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</si>
  <si>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</si>
  <si>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</si>
  <si>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</si>
  <si>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</si>
  <si>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</si>
  <si>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</si>
  <si>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</si>
  <si>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</si>
  <si>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</si>
  <si>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</si>
  <si>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</si>
  <si>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</si>
  <si>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</si>
  <si>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</si>
  <si>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</si>
  <si>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</si>
  <si>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</si>
  <si>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</si>
  <si>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</si>
  <si>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</si>
  <si>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</si>
  <si>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</si>
  <si>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</si>
  <si>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</si>
  <si>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</si>
  <si>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</si>
  <si>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</si>
  <si>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</si>
  <si>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</si>
  <si>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</si>
  <si>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</si>
  <si>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</si>
  <si>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</si>
  <si>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</si>
  <si>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</si>
  <si>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</si>
  <si>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</si>
  <si>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</si>
  <si>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</si>
  <si>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</si>
  <si>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</si>
  <si>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</si>
  <si>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</si>
  <si>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</si>
  <si>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</si>
  <si>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</si>
  <si>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</si>
  <si>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</si>
  <si>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</si>
  <si>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</si>
  <si>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</si>
  <si>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</si>
  <si>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</si>
  <si>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</si>
  <si>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</si>
  <si>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</si>
  <si>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</si>
  <si>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</si>
  <si>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</si>
  <si>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</si>
  <si>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</si>
  <si>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</si>
  <si>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</si>
  <si>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</si>
  <si>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</si>
  <si>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</si>
  <si>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</si>
  <si>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</si>
  <si>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</si>
  <si>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</si>
  <si>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</si>
  <si>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</si>
  <si>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</si>
  <si>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</si>
  <si>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</si>
  <si>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</si>
  <si>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</si>
  <si>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</si>
  <si>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</si>
  <si>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</si>
  <si>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</si>
  <si>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</si>
  <si>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</si>
  <si>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</si>
  <si>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</si>
  <si>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</si>
  <si>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</si>
  <si>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</si>
  <si>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</si>
  <si>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</si>
  <si>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</si>
  <si>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</si>
  <si>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</si>
  <si>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</si>
  <si>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</si>
  <si>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</si>
  <si>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</si>
  <si>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</si>
  <si>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</si>
  <si>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</si>
  <si>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</si>
  <si>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</si>
  <si>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</si>
  <si>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</si>
  <si>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</si>
  <si>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</si>
  <si>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</si>
  <si>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</si>
  <si>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</si>
  <si>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</si>
  <si>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</si>
  <si>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</si>
  <si>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</si>
  <si>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</si>
  <si>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</si>
  <si>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</si>
  <si>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</si>
  <si>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</si>
  <si>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</si>
  <si>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</si>
  <si>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</si>
  <si>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</si>
  <si>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</si>
  <si>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</si>
  <si>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</si>
  <si>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</si>
  <si>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</si>
  <si>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</si>
  <si>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</si>
  <si>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</si>
  <si>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</si>
  <si>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</si>
  <si>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</si>
  <si>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</si>
  <si>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</si>
  <si>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</si>
  <si>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</si>
  <si>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</si>
  <si>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</si>
  <si>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</si>
  <si>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</si>
  <si>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</si>
  <si>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</si>
  <si>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</si>
  <si>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</si>
  <si>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</si>
  <si>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</si>
  <si>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</si>
  <si>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</si>
  <si>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</si>
  <si>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</si>
  <si>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</si>
  <si>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</si>
  <si>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</si>
  <si>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</si>
  <si>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</si>
  <si>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</si>
  <si>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</si>
  <si>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</si>
  <si>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</si>
  <si>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</si>
  <si>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</si>
  <si>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</si>
  <si>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</si>
  <si>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</si>
  <si>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</si>
  <si>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</si>
  <si>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</si>
  <si>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</si>
  <si>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</si>
  <si>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</si>
  <si>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</si>
  <si>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</si>
  <si>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</si>
  <si>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</si>
  <si>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</si>
  <si>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</si>
  <si>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</si>
  <si>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</si>
  <si>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</si>
  <si>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</si>
  <si>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</si>
  <si>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</si>
  <si>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</si>
  <si>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</si>
  <si>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</si>
  <si>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</si>
  <si>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</si>
  <si>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</si>
  <si>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</si>
  <si>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</si>
  <si>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</si>
  <si>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</si>
  <si>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</si>
  <si>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</si>
  <si>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</si>
  <si>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</si>
  <si>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</si>
  <si>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</si>
  <si>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</si>
  <si>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</si>
  <si>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</si>
  <si>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</si>
  <si>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</si>
  <si>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</si>
  <si>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</si>
  <si>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</si>
  <si>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</si>
  <si>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</si>
  <si>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</si>
  <si>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</si>
  <si>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</si>
  <si>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</si>
  <si>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</si>
  <si>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</si>
  <si>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</si>
  <si>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</si>
  <si>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</si>
  <si>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</si>
  <si>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</si>
  <si>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</si>
  <si>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</si>
  <si>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</si>
  <si>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</si>
  <si>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</si>
  <si>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</si>
  <si>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</si>
  <si>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</si>
  <si>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</si>
  <si>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</si>
  <si>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</si>
  <si>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</si>
  <si>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</si>
  <si>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</si>
  <si>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</si>
  <si>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</si>
  <si>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</si>
  <si>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</si>
  <si>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</si>
  <si>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</si>
  <si>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</si>
  <si>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</si>
  <si>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</si>
  <si>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</si>
  <si>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</si>
  <si>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</si>
  <si>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</si>
  <si>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</si>
  <si>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</si>
  <si>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</si>
  <si>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</si>
  <si>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</si>
  <si>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</si>
  <si>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</si>
  <si>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</si>
  <si>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</si>
  <si>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</si>
  <si>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</si>
  <si>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</si>
  <si>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</si>
  <si>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</si>
  <si>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</si>
  <si>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</si>
  <si>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</si>
  <si>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</si>
  <si>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</si>
  <si>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</si>
  <si>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</si>
  <si>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</si>
  <si>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</si>
  <si>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</si>
  <si>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</si>
  <si>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</si>
  <si>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</si>
  <si>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</si>
  <si>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</si>
  <si>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</si>
  <si>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</si>
  <si>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</si>
  <si>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</si>
  <si>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</si>
  <si>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</si>
  <si>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</si>
  <si>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</si>
  <si>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</si>
  <si>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</si>
  <si>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</si>
  <si>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</si>
  <si>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</si>
  <si>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</si>
  <si>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</si>
  <si>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</si>
  <si>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</si>
  <si>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</si>
  <si>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</si>
  <si>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</si>
  <si>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</si>
  <si>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</si>
  <si>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</si>
  <si>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</si>
  <si>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</si>
  <si>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</si>
  <si>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</si>
  <si>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</si>
  <si>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</si>
  <si>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</si>
  <si>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</si>
  <si>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</si>
  <si>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</si>
  <si>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</si>
  <si>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</si>
  <si>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</si>
  <si>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</si>
  <si>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</si>
  <si>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</si>
  <si>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</si>
  <si>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</si>
  <si>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</si>
  <si>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</si>
  <si>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</si>
  <si>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</si>
  <si>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</si>
  <si>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</si>
  <si>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</si>
  <si>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</si>
  <si>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</si>
  <si>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</si>
  <si>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</si>
  <si>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</si>
  <si>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</si>
  <si>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</si>
  <si>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</si>
  <si>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</si>
  <si>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</si>
  <si>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</si>
  <si>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</si>
  <si>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</si>
  <si>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</si>
  <si>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</si>
  <si>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</si>
  <si>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</si>
  <si>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</si>
  <si>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</si>
  <si>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</si>
  <si>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</si>
  <si>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</si>
  <si>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</si>
  <si>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</si>
  <si>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</si>
  <si>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</si>
  <si>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</si>
  <si>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</si>
  <si>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</si>
  <si>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</si>
  <si>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</si>
  <si>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</si>
  <si>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</si>
  <si>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</si>
  <si>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</si>
  <si>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</si>
  <si>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</si>
  <si>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</si>
  <si>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</si>
  <si>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</si>
  <si>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</si>
  <si>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</si>
  <si>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</si>
  <si>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</si>
  <si>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</si>
  <si>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</si>
  <si>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</si>
  <si>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</si>
  <si>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</si>
  <si>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</si>
  <si>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</si>
  <si>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</si>
  <si>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</si>
  <si>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</si>
  <si>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</si>
  <si>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</si>
  <si>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</si>
  <si>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</si>
  <si>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</si>
  <si>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</si>
  <si>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</si>
  <si>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</si>
  <si>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</si>
  <si>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</si>
  <si>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</si>
  <si>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</si>
  <si>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</si>
  <si>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</si>
  <si>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</si>
  <si>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</si>
  <si>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</si>
  <si>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</si>
  <si>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</si>
  <si>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</si>
  <si>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</si>
  <si>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</si>
  <si>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</si>
  <si>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</si>
  <si>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</si>
  <si>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</si>
  <si>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</si>
  <si>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</si>
  <si>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</si>
  <si>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</si>
  <si>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</si>
  <si>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</si>
  <si>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</si>
  <si>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</si>
  <si>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</si>
  <si>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</si>
  <si>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</si>
  <si>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</si>
  <si>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</si>
  <si>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</si>
  <si>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</si>
  <si>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</si>
  <si>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</si>
  <si>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</si>
  <si>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</si>
  <si>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</si>
  <si>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</si>
  <si>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</si>
  <si>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</si>
  <si>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</si>
  <si>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</si>
  <si>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</si>
  <si>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</si>
  <si>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</si>
  <si>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</si>
  <si>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</si>
  <si>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</si>
  <si>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</si>
  <si>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</si>
  <si>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</si>
  <si>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</si>
  <si>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</si>
  <si>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</si>
  <si>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</si>
  <si>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</si>
  <si>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</si>
  <si>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</si>
  <si>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</si>
  <si>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</si>
  <si>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</si>
  <si>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</si>
  <si>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</si>
  <si>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</si>
  <si>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</si>
  <si>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</si>
  <si>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</si>
  <si>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</si>
  <si>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</si>
  <si>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</si>
  <si>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</si>
  <si>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</si>
  <si>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</si>
  <si>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</si>
  <si>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</si>
  <si>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</si>
  <si>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</si>
  <si>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</si>
  <si>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</si>
  <si>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</si>
  <si>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</si>
  <si>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</si>
  <si>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</si>
  <si>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</si>
  <si>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</si>
  <si>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</si>
  <si>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</si>
  <si>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</si>
  <si>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</si>
  <si>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</si>
  <si>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</si>
  <si>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</si>
  <si>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</si>
  <si>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</si>
  <si>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</si>
  <si>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</si>
  <si>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</si>
  <si>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</si>
  <si>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</si>
  <si>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</si>
  <si>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</si>
  <si>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</si>
  <si>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</si>
  <si>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</si>
  <si>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</si>
  <si>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</si>
  <si>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</si>
  <si>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</si>
  <si>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</si>
  <si>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</si>
  <si>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</si>
  <si>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</si>
  <si>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</si>
  <si>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</si>
  <si>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</si>
  <si>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</si>
  <si>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</si>
  <si>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</si>
  <si>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</si>
  <si>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</si>
  <si>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</si>
  <si>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</si>
  <si>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</si>
  <si>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</si>
  <si>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</si>
  <si>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</si>
  <si>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</si>
  <si>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</si>
  <si>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</si>
  <si>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</si>
  <si>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</si>
  <si>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</si>
  <si>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</si>
  <si>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</si>
  <si>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</si>
  <si>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</si>
  <si>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</si>
  <si>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</si>
  <si>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</si>
  <si>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</si>
  <si>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</si>
  <si>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</si>
  <si>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</si>
  <si>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</si>
  <si>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</si>
  <si>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</si>
  <si>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</si>
  <si>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</si>
  <si>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</si>
  <si>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</si>
  <si>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</si>
  <si>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</si>
  <si>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</si>
  <si>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</si>
  <si>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</si>
  <si>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</si>
  <si>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</si>
  <si>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</si>
  <si>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</si>
  <si>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</si>
  <si>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</si>
  <si>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</si>
  <si>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</si>
  <si>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</si>
  <si>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</si>
  <si>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</si>
  <si>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</si>
  <si>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</si>
  <si>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</si>
  <si>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</si>
  <si>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</si>
  <si>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</si>
  <si>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</si>
  <si>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</si>
  <si>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</si>
  <si>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</si>
  <si>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</si>
  <si>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</si>
  <si>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</si>
  <si>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</si>
  <si>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</si>
  <si>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</si>
  <si>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</si>
  <si>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</si>
  <si>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</si>
  <si>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</si>
  <si>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</si>
  <si>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</si>
  <si>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</si>
  <si>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</si>
  <si>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</si>
  <si>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</si>
  <si>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</si>
  <si>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</si>
  <si>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</si>
  <si>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</si>
  <si>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</si>
  <si>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</si>
  <si>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</si>
  <si>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</si>
  <si>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</si>
  <si>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</si>
  <si>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</si>
  <si>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</si>
  <si>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</si>
  <si>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</si>
  <si>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</si>
  <si>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</si>
  <si>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</si>
  <si>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</si>
  <si>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</si>
  <si>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</si>
  <si>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</si>
  <si>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</si>
  <si>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</si>
  <si>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</si>
  <si>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</si>
  <si>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</si>
  <si>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</si>
  <si>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</si>
  <si>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</si>
  <si>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</si>
  <si>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</si>
  <si>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</si>
  <si>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</si>
  <si>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</si>
  <si>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</si>
  <si>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</si>
  <si>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</si>
  <si>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</si>
  <si>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</si>
  <si>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</si>
  <si>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</si>
  <si>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</si>
  <si>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</si>
  <si>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</si>
  <si>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</si>
  <si>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</si>
  <si>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</si>
  <si>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</si>
  <si>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</si>
  <si>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</si>
  <si>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</si>
  <si>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</si>
  <si>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</si>
  <si>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</si>
  <si>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</si>
  <si>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</si>
  <si>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</si>
  <si>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</si>
  <si>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</si>
  <si>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</si>
  <si>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</si>
  <si>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</si>
  <si>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</si>
  <si>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</si>
  <si>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</si>
  <si>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</si>
  <si>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</si>
  <si>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</si>
  <si>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</si>
  <si>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</si>
  <si>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</si>
  <si>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</si>
  <si>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</si>
  <si>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</si>
  <si>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</si>
  <si>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</si>
  <si>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</si>
  <si>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</si>
  <si>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</si>
  <si>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</si>
  <si>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</si>
  <si>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</si>
  <si>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</si>
  <si>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</si>
  <si>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</si>
  <si>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</si>
  <si>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</si>
  <si>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</si>
  <si>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</si>
  <si>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</si>
  <si>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</si>
  <si>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</si>
  <si>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</si>
  <si>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</si>
  <si>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</si>
  <si>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</si>
  <si>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</si>
  <si>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</si>
  <si>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</si>
  <si>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</si>
  <si>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</si>
  <si>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</si>
  <si>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</si>
  <si>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</si>
  <si>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</si>
  <si>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</si>
  <si>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</si>
  <si>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</si>
  <si>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</si>
  <si>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</si>
  <si>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</si>
  <si>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</si>
  <si>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</si>
  <si>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</si>
  <si>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</si>
  <si>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</si>
  <si>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</si>
  <si>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</si>
  <si>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</si>
  <si>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</si>
  <si>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</si>
  <si>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</si>
  <si>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</si>
  <si>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</si>
  <si>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</si>
  <si>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</si>
  <si>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</si>
  <si>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</si>
  <si>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</si>
  <si>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</si>
  <si>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</si>
  <si>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</si>
  <si>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</si>
  <si>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</si>
  <si>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</si>
  <si>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</si>
  <si>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</si>
  <si>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</si>
  <si>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</si>
  <si>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</si>
  <si>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</si>
  <si>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</si>
  <si>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</si>
  <si>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</si>
  <si>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</si>
  <si>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</si>
  <si>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</si>
  <si>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</si>
  <si>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</si>
  <si>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</si>
  <si>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</si>
  <si>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</si>
  <si>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</si>
  <si>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</si>
  <si>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</si>
  <si>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</si>
  <si>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</si>
  <si>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</si>
  <si>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</si>
  <si>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</si>
  <si>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</si>
  <si>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</si>
  <si>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</si>
  <si>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</si>
  <si>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</si>
  <si>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</si>
  <si>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</si>
  <si>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</si>
  <si>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</si>
  <si>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</si>
  <si>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</si>
  <si>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</si>
  <si>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</si>
  <si>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</si>
  <si>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</si>
  <si>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</si>
  <si>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</si>
  <si>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</si>
  <si>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</si>
  <si>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</si>
  <si>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</si>
  <si>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</si>
  <si>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</si>
  <si>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</si>
  <si>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</si>
  <si>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</si>
  <si>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</si>
  <si>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</si>
  <si>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</si>
  <si>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</si>
  <si>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</si>
  <si>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</si>
  <si>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</si>
  <si>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</si>
  <si>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</si>
  <si>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</si>
  <si>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</si>
  <si>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</si>
  <si>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</si>
  <si>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</si>
  <si>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</si>
  <si>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</si>
  <si>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</si>
  <si>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</si>
  <si>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</si>
  <si>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</si>
  <si>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</si>
  <si>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</si>
  <si>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</si>
  <si>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</si>
  <si>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</si>
  <si>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</si>
  <si>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</si>
  <si>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</si>
  <si>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</si>
  <si>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</si>
  <si>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</si>
  <si>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</si>
  <si>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</si>
  <si>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</si>
  <si>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</si>
  <si>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</si>
  <si>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</si>
  <si>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</si>
  <si>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</si>
  <si>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</si>
  <si>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</si>
  <si>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</si>
  <si>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</si>
  <si>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</si>
  <si>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</si>
  <si>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</si>
  <si>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</si>
  <si>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</si>
  <si>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</si>
  <si>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</si>
  <si>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</si>
  <si>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</si>
  <si>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</si>
  <si>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</si>
  <si>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</si>
  <si>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</si>
  <si>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</si>
  <si>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</si>
  <si>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</si>
  <si>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</si>
  <si>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</si>
  <si>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</si>
  <si>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</si>
  <si>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</si>
  <si>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</si>
  <si>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</si>
  <si>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</si>
  <si>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</si>
  <si>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</si>
  <si>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</si>
  <si>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</si>
  <si>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</si>
  <si>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</si>
  <si>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</si>
  <si>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</si>
  <si>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</si>
  <si>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</si>
  <si>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</si>
  <si>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</si>
  <si>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</si>
  <si>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</si>
  <si>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</si>
  <si>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</si>
  <si>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</si>
  <si>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</si>
  <si>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</si>
  <si>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</si>
  <si>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</si>
  <si>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</si>
  <si>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</si>
  <si>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</si>
  <si>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</si>
  <si>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</si>
  <si>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</si>
  <si>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</si>
  <si>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</si>
  <si>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</si>
  <si>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</si>
  <si>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</si>
  <si>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</si>
  <si>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</si>
  <si>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</si>
  <si>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</si>
  <si>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</si>
  <si>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</si>
  <si>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</si>
  <si>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</si>
  <si>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</si>
  <si>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</si>
  <si>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</si>
  <si>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</si>
  <si>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</si>
  <si>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</si>
  <si>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</si>
  <si>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</si>
  <si>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</si>
  <si>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</si>
  <si>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</si>
  <si>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</si>
  <si>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</si>
  <si>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</si>
  <si>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</si>
  <si>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</si>
  <si>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</si>
  <si>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</si>
  <si>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</si>
  <si>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</si>
  <si>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</si>
  <si>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</si>
  <si>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</si>
  <si>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</si>
  <si>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</si>
  <si>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</si>
  <si>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</si>
  <si>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</si>
  <si>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</si>
  <si>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</si>
  <si>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</si>
  <si>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</si>
  <si>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</si>
  <si>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</si>
  <si>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</si>
  <si>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</si>
  <si>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</si>
  <si>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</si>
  <si>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</si>
  <si>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</si>
  <si>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</si>
  <si>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</si>
  <si>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</si>
  <si>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</si>
  <si>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</si>
  <si>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</si>
  <si>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</si>
  <si>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</si>
  <si>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</si>
  <si>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</si>
  <si>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</si>
  <si>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</si>
  <si>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</si>
  <si>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</si>
  <si>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</si>
  <si>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</si>
  <si>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</si>
  <si>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</si>
  <si>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</si>
  <si>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</si>
  <si>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</si>
  <si>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</si>
  <si>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</si>
  <si>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</si>
  <si>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</si>
  <si>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</si>
  <si>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</si>
  <si>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</si>
  <si>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</si>
  <si>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</si>
  <si>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</si>
  <si>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</si>
  <si>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</si>
  <si>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</si>
  <si>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</si>
  <si>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</si>
  <si>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</si>
  <si>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</si>
  <si>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</si>
  <si>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</si>
  <si>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</si>
  <si>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</si>
  <si>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</si>
  <si>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</si>
  <si>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</si>
  <si>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</si>
  <si>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</si>
  <si>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</si>
  <si>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</si>
  <si>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</si>
  <si>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</si>
  <si>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</si>
  <si>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</si>
  <si>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</si>
  <si>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</si>
  <si>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</si>
  <si>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</si>
  <si>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</si>
  <si>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</si>
  <si>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</si>
  <si>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</si>
  <si>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</si>
  <si>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</si>
  <si>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</si>
  <si>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</si>
  <si>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</si>
  <si>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</si>
  <si>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</si>
  <si>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</si>
  <si>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</si>
  <si>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</si>
  <si>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</si>
  <si>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</si>
  <si>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</si>
  <si>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</si>
  <si>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</si>
  <si>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</si>
  <si>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</si>
  <si>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</si>
  <si>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</si>
  <si>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</si>
  <si>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</si>
  <si>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</si>
  <si>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</si>
  <si>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</si>
  <si>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</si>
  <si>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</si>
  <si>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</si>
  <si>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</si>
  <si>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</si>
  <si>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</si>
  <si>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</si>
  <si>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</si>
  <si>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</si>
  <si>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</si>
  <si>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</si>
  <si>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</si>
  <si>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</si>
  <si>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</si>
  <si>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</si>
  <si>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</si>
  <si>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</si>
  <si>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</si>
  <si>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</si>
  <si>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</si>
  <si>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</si>
  <si>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</si>
  <si>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</si>
  <si>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</si>
  <si>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</si>
  <si>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</si>
  <si>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</si>
  <si>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</si>
  <si>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</si>
  <si>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</si>
  <si>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</si>
  <si>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</si>
  <si>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</si>
  <si>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</si>
  <si>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</si>
  <si>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</si>
  <si>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</si>
  <si>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</si>
  <si>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</si>
  <si>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</si>
  <si>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</si>
  <si>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</si>
  <si>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</si>
  <si>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</si>
  <si>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</si>
  <si>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</si>
  <si>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</si>
  <si>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</si>
  <si>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</si>
  <si>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</si>
  <si>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</si>
  <si>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</si>
  <si>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</si>
  <si>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</si>
  <si>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</si>
  <si>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</si>
  <si>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</si>
  <si>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</si>
  <si>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</si>
  <si>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</si>
  <si>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</si>
  <si>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</si>
  <si>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</si>
  <si>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</si>
  <si>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</si>
  <si>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</si>
  <si>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</si>
  <si>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</si>
  <si>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</si>
  <si>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</si>
  <si>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</si>
  <si>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</si>
  <si>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</si>
  <si>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</si>
  <si>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</si>
  <si>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</si>
  <si>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</si>
  <si>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</si>
  <si>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</si>
  <si>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</si>
  <si>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</si>
  <si>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</si>
  <si>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</si>
  <si>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</si>
  <si>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</si>
  <si>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</si>
  <si>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</si>
  <si>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</si>
  <si>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</si>
  <si>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</si>
  <si>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</si>
  <si>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</si>
  <si>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</si>
  <si>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</si>
  <si>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</si>
  <si>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</si>
  <si>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</si>
  <si>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</si>
  <si>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</si>
  <si>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</si>
  <si>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</si>
  <si>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</si>
  <si>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</si>
  <si>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</si>
  <si>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</si>
  <si>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</si>
  <si>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</si>
  <si>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</si>
  <si>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</si>
  <si>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</si>
  <si>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</si>
  <si>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</si>
  <si>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</si>
  <si>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</si>
  <si>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</si>
  <si>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</si>
  <si>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</si>
  <si>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</si>
  <si>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</si>
  <si>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</si>
  <si>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</si>
  <si>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</si>
  <si>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</si>
  <si>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</si>
  <si>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</si>
  <si>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</si>
  <si>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</si>
  <si>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</si>
  <si>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</si>
  <si>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</si>
  <si>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</si>
  <si>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</si>
  <si>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</si>
  <si>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</si>
  <si>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</si>
  <si>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</si>
  <si>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</si>
  <si>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</si>
  <si>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</si>
  <si>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</si>
  <si>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</si>
  <si>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</si>
  <si>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</si>
  <si>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</si>
  <si>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</si>
  <si>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</si>
  <si>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</si>
  <si>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</si>
  <si>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</si>
  <si>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</si>
  <si>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</si>
  <si>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</si>
  <si>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</si>
  <si>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</si>
  <si>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</si>
  <si>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</si>
  <si>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</si>
  <si>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</si>
  <si>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</si>
  <si>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</si>
  <si>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</si>
  <si>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</si>
  <si>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</si>
  <si>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</si>
  <si>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</si>
  <si>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</si>
  <si>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</si>
  <si>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</si>
  <si>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</si>
  <si>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</si>
  <si>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</si>
  <si>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</si>
  <si>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</si>
  <si>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</si>
  <si>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</si>
  <si>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</si>
  <si>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</si>
  <si>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</si>
  <si>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</si>
  <si>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</si>
  <si>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</si>
  <si>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</si>
  <si>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</si>
  <si>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</si>
  <si>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</si>
  <si>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</si>
  <si>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</si>
  <si>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</si>
  <si>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</si>
  <si>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</si>
  <si>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</si>
  <si>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</si>
  <si>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</si>
  <si>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</si>
  <si>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</si>
  <si>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</si>
  <si>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</si>
  <si>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</si>
  <si>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</si>
  <si>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</si>
  <si>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</si>
  <si>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</si>
  <si>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</si>
  <si>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</si>
  <si>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</si>
  <si>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</si>
  <si>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</si>
  <si>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</si>
  <si>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</si>
  <si>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</si>
  <si>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</si>
  <si>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</si>
  <si>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</si>
  <si>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</si>
  <si>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</si>
  <si>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</si>
  <si>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</si>
  <si>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</si>
  <si>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</si>
  <si>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</si>
  <si>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</si>
  <si>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</si>
  <si>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</si>
  <si>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</si>
  <si>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</si>
  <si>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</si>
  <si>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</si>
  <si>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</si>
  <si>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</si>
  <si>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</si>
  <si>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</si>
  <si>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</si>
  <si>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</si>
  <si>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</si>
  <si>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</si>
  <si>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</si>
  <si>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</si>
  <si>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</si>
  <si>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</si>
  <si>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</si>
  <si>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</si>
  <si>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</si>
  <si>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</si>
  <si>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</si>
  <si>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</si>
  <si>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</si>
  <si>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</si>
  <si>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</si>
  <si>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</si>
  <si>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</si>
  <si>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</si>
  <si>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</si>
  <si>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</si>
  <si>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</si>
  <si>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</si>
  <si>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</si>
  <si>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</si>
  <si>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</si>
  <si>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</si>
  <si>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</si>
  <si>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</si>
  <si>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</si>
  <si>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</si>
  <si>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</si>
  <si>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</si>
  <si>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</si>
  <si>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</si>
  <si>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</si>
  <si>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</si>
  <si>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</si>
  <si>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</si>
  <si>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</si>
  <si>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</si>
  <si>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</si>
  <si>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</si>
  <si>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</si>
  <si>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</si>
  <si>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</si>
  <si>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</si>
  <si>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</si>
  <si>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</si>
  <si>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</si>
  <si>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</si>
  <si>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</si>
  <si>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</si>
  <si>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</si>
  <si>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</si>
  <si>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</si>
  <si>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</si>
  <si>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</si>
  <si>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</si>
  <si>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</si>
  <si>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</si>
  <si>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</si>
  <si>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</si>
  <si>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</si>
  <si>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</si>
  <si>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</si>
  <si>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</si>
  <si>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</si>
  <si>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</si>
  <si>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</si>
  <si>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</si>
  <si>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</si>
  <si>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</si>
  <si>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</si>
  <si>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</si>
  <si>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</si>
  <si>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</si>
  <si>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</si>
  <si>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</si>
  <si>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</si>
  <si>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</si>
  <si>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</si>
  <si>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</si>
  <si>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</si>
  <si>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</si>
  <si>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</si>
  <si>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</si>
  <si>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</si>
  <si>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</si>
  <si>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</si>
  <si>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</si>
  <si>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</si>
  <si>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</si>
  <si>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</si>
  <si>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</si>
  <si>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</si>
  <si>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</si>
  <si>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</si>
  <si>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</si>
  <si>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</si>
  <si>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</si>
  <si>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</si>
  <si>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</si>
  <si>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</si>
  <si>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</si>
  <si>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</si>
  <si>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</si>
  <si>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</si>
  <si>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</si>
  <si>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</si>
  <si>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</si>
  <si>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</si>
  <si>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</si>
  <si>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</si>
  <si>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</si>
  <si>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</si>
  <si>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</si>
  <si>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</si>
  <si>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</si>
  <si>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</si>
  <si>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</si>
  <si>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</si>
  <si>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</si>
  <si>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</si>
  <si>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</si>
  <si>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</si>
  <si>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</si>
  <si>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</si>
  <si>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</si>
  <si>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</si>
  <si>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</si>
  <si>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</si>
  <si>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</si>
  <si>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</si>
  <si>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</si>
  <si>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</si>
  <si>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</si>
  <si>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</si>
  <si>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</si>
  <si>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</si>
  <si>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</si>
  <si>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</si>
  <si>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</si>
  <si>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</si>
  <si>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</si>
  <si>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</si>
  <si>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</si>
  <si>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</si>
  <si>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</si>
  <si>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</si>
  <si>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</si>
  <si>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</si>
  <si>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</si>
  <si>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</si>
  <si>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</si>
  <si>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</si>
  <si>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</si>
  <si>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</si>
  <si>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</si>
  <si>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</si>
  <si>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</si>
  <si>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</si>
  <si>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</si>
  <si>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</si>
  <si>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</si>
  <si>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</si>
  <si>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</si>
  <si>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</si>
  <si>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</si>
  <si>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</si>
  <si>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</si>
  <si>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</si>
  <si>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</si>
  <si>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</si>
  <si>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</si>
  <si>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</si>
  <si>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</si>
  <si>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</si>
  <si>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</si>
  <si>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</si>
  <si>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</si>
  <si>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</si>
  <si>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</si>
  <si>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</si>
  <si>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</si>
  <si>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</si>
  <si>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</si>
  <si>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</si>
  <si>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</si>
  <si>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</si>
  <si>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</si>
  <si>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</si>
  <si>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</si>
  <si>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</si>
  <si>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</si>
  <si>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</si>
  <si>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</si>
  <si>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</si>
  <si>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</si>
  <si>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</si>
  <si>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</si>
  <si>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</si>
  <si>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</si>
  <si>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</si>
  <si>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</si>
  <si>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</si>
  <si>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</si>
  <si>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</si>
  <si>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</si>
  <si>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</si>
  <si>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</si>
  <si>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</si>
  <si>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</si>
  <si>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</si>
  <si>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</si>
  <si>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</si>
  <si>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</si>
  <si>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</si>
  <si>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</si>
  <si>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</si>
  <si>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</si>
  <si>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</si>
  <si>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</si>
  <si>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</si>
  <si>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</si>
  <si>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</si>
  <si>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</si>
  <si>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</si>
  <si>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</si>
  <si>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</si>
  <si>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</si>
  <si>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</si>
  <si>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</si>
  <si>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</si>
  <si>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</si>
  <si>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</si>
  <si>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</si>
  <si>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</si>
  <si>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</si>
  <si>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</si>
  <si>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</si>
  <si>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</si>
  <si>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</si>
  <si>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</si>
  <si>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</si>
  <si>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</si>
  <si>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</si>
  <si>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</si>
  <si>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</si>
  <si>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</si>
  <si>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</si>
  <si>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</si>
  <si>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</si>
  <si>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</si>
  <si>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</si>
  <si>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</si>
  <si>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</si>
  <si>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</si>
  <si>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</si>
  <si>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</si>
  <si>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</si>
  <si>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</si>
  <si>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</si>
  <si>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</si>
  <si>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</si>
  <si>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</si>
  <si>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</si>
  <si>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</si>
  <si>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</si>
  <si>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</si>
  <si>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</si>
  <si>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</si>
  <si>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</si>
  <si>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</si>
  <si>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</si>
  <si>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</si>
  <si>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</si>
  <si>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</si>
  <si>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</si>
  <si>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</si>
  <si>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</si>
  <si>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</si>
  <si>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</si>
  <si>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</si>
  <si>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</si>
  <si>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</si>
  <si>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</si>
  <si>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</si>
  <si>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</si>
  <si>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</si>
  <si>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</si>
  <si>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</si>
  <si>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</si>
  <si>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</si>
  <si>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</si>
  <si>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</si>
  <si>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</si>
  <si>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</si>
  <si>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</si>
  <si>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</si>
  <si>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</si>
  <si>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</si>
  <si>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</si>
  <si>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</si>
  <si>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</si>
  <si>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</si>
  <si>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</si>
  <si>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</si>
  <si>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</si>
  <si>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</si>
  <si>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</si>
  <si>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</si>
  <si>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</si>
  <si>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</si>
  <si>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</si>
  <si>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</si>
  <si>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</si>
  <si>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</si>
  <si>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</si>
  <si>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</si>
  <si>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</si>
  <si>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</si>
  <si>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</si>
  <si>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</si>
  <si>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</si>
  <si>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</si>
  <si>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</si>
  <si>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</si>
  <si>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</si>
  <si>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</si>
  <si>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</si>
  <si>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</si>
  <si>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</si>
  <si>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</si>
  <si>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</si>
  <si>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</si>
  <si>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</si>
  <si>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</si>
  <si>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</si>
  <si>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</si>
  <si>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</si>
  <si>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</si>
  <si>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</si>
  <si>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</si>
  <si>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</si>
  <si>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</si>
  <si>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</si>
  <si>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</si>
  <si>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</si>
  <si>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</si>
  <si>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</si>
  <si>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</si>
  <si>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</si>
  <si>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</si>
  <si>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</si>
  <si>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</si>
  <si>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</si>
  <si>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</si>
  <si>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</si>
  <si>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</si>
  <si>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</si>
  <si>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</si>
  <si>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</si>
  <si>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</si>
  <si>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</si>
  <si>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</si>
  <si>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</si>
  <si>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</si>
  <si>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</si>
  <si>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</si>
  <si>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</si>
  <si>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</si>
  <si>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</si>
  <si>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</si>
  <si>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</si>
  <si>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</si>
  <si>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</si>
  <si>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</si>
  <si>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</si>
  <si>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</si>
  <si>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</si>
  <si>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</si>
  <si>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</si>
  <si>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</si>
  <si>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</si>
  <si>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</si>
  <si>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</si>
  <si>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</si>
  <si>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</si>
  <si>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</si>
  <si>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</si>
  <si>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</si>
  <si>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</si>
  <si>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</si>
  <si>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</si>
  <si>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</si>
  <si>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</si>
  <si>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</si>
  <si>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</si>
  <si>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</si>
  <si>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</si>
  <si>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</si>
  <si>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</si>
  <si>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</si>
  <si>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</si>
  <si>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</si>
  <si>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</si>
  <si>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</si>
  <si>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</si>
  <si>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</si>
  <si>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</si>
  <si>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</si>
  <si>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</si>
  <si>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</si>
  <si>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</si>
  <si>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</si>
  <si>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</si>
  <si>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</si>
  <si>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</si>
  <si>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</si>
  <si>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</si>
  <si>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</si>
  <si>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</si>
  <si>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</si>
  <si>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</si>
  <si>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</si>
  <si>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</si>
  <si>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</si>
  <si>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</si>
  <si>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</si>
  <si>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</si>
  <si>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</si>
  <si>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</si>
  <si>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</si>
  <si>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</si>
  <si>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</si>
  <si>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</si>
  <si>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</si>
  <si>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</si>
  <si>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</si>
  <si>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</si>
  <si>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</si>
  <si>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</si>
  <si>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</si>
  <si>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</si>
  <si>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</si>
  <si>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</si>
  <si>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</si>
  <si>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</si>
  <si>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</si>
  <si>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</si>
  <si>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</si>
  <si>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</si>
  <si>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</si>
  <si>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</si>
  <si>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</si>
  <si>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</si>
  <si>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</si>
  <si>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</si>
  <si>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</si>
  <si>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</si>
  <si>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</si>
  <si>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</si>
  <si>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</si>
  <si>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</si>
  <si>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</si>
  <si>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</si>
  <si>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</si>
  <si>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</si>
  <si>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</si>
  <si>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</si>
  <si>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</si>
  <si>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</si>
  <si>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</si>
  <si>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</si>
  <si>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</si>
  <si>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</si>
  <si>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</si>
  <si>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</si>
  <si>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</si>
  <si>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</si>
  <si>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</si>
  <si>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</si>
  <si>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</si>
  <si>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</si>
  <si>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</si>
  <si>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</si>
  <si>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</si>
  <si>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</si>
  <si>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</si>
  <si>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</si>
  <si>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</si>
  <si>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</si>
  <si>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</si>
  <si>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</si>
  <si>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</si>
  <si>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</si>
  <si>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</si>
  <si>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</si>
  <si>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</si>
  <si>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</si>
  <si>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</si>
  <si>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</si>
  <si>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</si>
  <si>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</si>
  <si>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</si>
  <si>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</si>
  <si>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</si>
  <si>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</si>
  <si>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</si>
  <si>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</si>
  <si>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</si>
  <si>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</si>
  <si>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</si>
  <si>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</si>
  <si>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</si>
  <si>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</si>
  <si>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</si>
  <si>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</si>
  <si>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</si>
  <si>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</si>
  <si>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</si>
  <si>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</si>
  <si>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</si>
  <si>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</si>
  <si>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</si>
  <si>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</si>
  <si>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</si>
  <si>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</si>
  <si>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</si>
  <si>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</si>
  <si>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</si>
  <si>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</si>
  <si>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</si>
  <si>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</si>
  <si>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</si>
  <si>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</si>
  <si>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</si>
  <si>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</si>
  <si>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</si>
  <si>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</si>
  <si>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</si>
  <si>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</si>
  <si>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</si>
  <si>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</si>
  <si>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</si>
  <si>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</si>
  <si>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</si>
  <si>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</si>
  <si>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</si>
  <si>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</si>
  <si>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</si>
  <si>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</si>
  <si>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</si>
  <si>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</si>
  <si>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</si>
  <si>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</si>
  <si>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</si>
  <si>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</si>
  <si>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</si>
  <si>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</si>
  <si>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</si>
  <si>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</si>
  <si>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</si>
  <si>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</si>
  <si>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</si>
  <si>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</si>
  <si>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</si>
  <si>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</si>
  <si>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</si>
  <si>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</si>
  <si>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</si>
  <si>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</si>
  <si>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</si>
  <si>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</si>
  <si>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</si>
  <si>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</si>
  <si>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</si>
  <si>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</si>
  <si>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</si>
  <si>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</si>
  <si>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</si>
  <si>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</si>
  <si>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</si>
  <si>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</si>
  <si>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</si>
  <si>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</si>
  <si>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</si>
  <si>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</si>
  <si>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</si>
  <si>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</si>
  <si>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</si>
  <si>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</si>
  <si>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</si>
  <si>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</si>
  <si>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</si>
  <si>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</si>
  <si>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</si>
  <si>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</si>
  <si>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</si>
  <si>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</si>
  <si>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</si>
  <si>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</si>
  <si>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</si>
  <si>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</si>
  <si>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</si>
  <si>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</si>
  <si>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</si>
  <si>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</si>
  <si>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</si>
  <si>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</si>
  <si>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</si>
  <si>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</si>
  <si>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</si>
  <si>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</si>
  <si>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</si>
  <si>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</si>
  <si>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</si>
  <si>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</si>
  <si>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</si>
  <si>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</si>
  <si>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</si>
  <si>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</si>
  <si>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</si>
  <si>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</si>
  <si>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</si>
  <si>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</si>
  <si>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</si>
  <si>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</si>
  <si>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</si>
  <si>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</si>
  <si>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</si>
  <si>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</si>
  <si>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</si>
  <si>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</si>
  <si>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</si>
  <si>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</si>
  <si>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</si>
  <si>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</si>
  <si>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</si>
  <si>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</si>
  <si>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</si>
  <si>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</si>
  <si>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</si>
  <si>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</si>
  <si>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</si>
  <si>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</si>
  <si>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</si>
  <si>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</si>
  <si>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</si>
  <si>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</si>
  <si>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</si>
  <si>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</si>
  <si>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</si>
  <si>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</si>
  <si>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</si>
  <si>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</si>
  <si>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</si>
  <si>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</si>
  <si>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</si>
  <si>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</si>
  <si>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</si>
  <si>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</si>
  <si>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</si>
  <si>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</si>
  <si>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</si>
  <si>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</si>
  <si>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</si>
  <si>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</si>
  <si>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</si>
  <si>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</si>
  <si>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</si>
  <si>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</si>
  <si>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</si>
  <si>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</si>
  <si>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</si>
  <si>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</si>
  <si>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</si>
  <si>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</si>
  <si>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</si>
  <si>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</si>
  <si>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</si>
  <si>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</si>
  <si>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</si>
  <si>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</si>
  <si>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</si>
  <si>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</si>
  <si>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</si>
  <si>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</si>
  <si>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</si>
  <si>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</si>
  <si>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</si>
  <si>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</si>
  <si>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</si>
  <si>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</si>
  <si>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</si>
  <si>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</si>
  <si>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</si>
  <si>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</si>
  <si>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</si>
  <si>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</si>
  <si>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</si>
  <si>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</si>
  <si>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</si>
  <si>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</si>
  <si>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</si>
  <si>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</si>
  <si>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</si>
  <si>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</si>
  <si>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</si>
  <si>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</si>
  <si>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</si>
  <si>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</si>
  <si>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</si>
  <si>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</si>
  <si>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</si>
  <si>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</si>
  <si>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</si>
  <si>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</si>
  <si>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</si>
  <si>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</si>
  <si>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</si>
  <si>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</si>
  <si>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</si>
  <si>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</si>
  <si>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</si>
  <si>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</si>
  <si>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</si>
  <si>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</si>
  <si>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</si>
  <si>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</si>
  <si>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</si>
  <si>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</si>
  <si>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</si>
  <si>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</si>
  <si>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</si>
  <si>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</si>
  <si>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</si>
  <si>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</si>
  <si>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</si>
  <si>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</si>
  <si>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</si>
  <si>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</si>
  <si>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</si>
  <si>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</si>
  <si>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</si>
  <si>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</si>
  <si>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</si>
  <si>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</si>
  <si>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</si>
  <si>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</si>
  <si>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</si>
  <si>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</si>
  <si>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</si>
  <si>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</si>
  <si>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</si>
  <si>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</si>
  <si>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</si>
  <si>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</si>
  <si>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</si>
  <si>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</si>
  <si>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</si>
  <si>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</si>
  <si>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</si>
  <si>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</si>
  <si>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</si>
  <si>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</si>
  <si>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</si>
  <si>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</si>
  <si>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</si>
  <si>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</si>
  <si>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</si>
  <si>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</si>
  <si>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</si>
  <si>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</si>
  <si>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</si>
  <si>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</si>
  <si>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</si>
  <si>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</si>
  <si>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</si>
  <si>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</si>
  <si>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</si>
  <si>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</si>
  <si>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</si>
  <si>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</si>
  <si>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</si>
  <si>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</si>
  <si>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</si>
  <si>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</si>
  <si>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</si>
  <si>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</si>
  <si>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</si>
  <si>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</si>
  <si>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</si>
  <si>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</si>
  <si>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</si>
  <si>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</si>
  <si>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</si>
  <si>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</si>
  <si>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</si>
  <si>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</si>
  <si>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</si>
  <si>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</si>
  <si>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</si>
  <si>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</si>
  <si>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</si>
  <si>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</si>
  <si>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</si>
  <si>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</si>
  <si>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</si>
  <si>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</si>
  <si>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</si>
  <si>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</si>
  <si>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</si>
  <si>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</si>
  <si>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</si>
  <si>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</si>
  <si>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</si>
  <si>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</si>
  <si>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</si>
  <si>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</si>
  <si>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</si>
  <si>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</si>
  <si>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</si>
  <si>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</si>
  <si>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</si>
  <si>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</si>
  <si>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</si>
  <si>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</si>
  <si>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</si>
  <si>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</si>
  <si>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</si>
  <si>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</si>
  <si>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</si>
  <si>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</si>
  <si>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</si>
  <si>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</si>
  <si>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</si>
  <si>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</si>
  <si>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</si>
  <si>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</si>
  <si>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</si>
  <si>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</si>
  <si>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</si>
  <si>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</si>
  <si>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</si>
  <si>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</si>
  <si>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</si>
  <si>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</si>
  <si>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</si>
  <si>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</si>
  <si>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</si>
  <si>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</si>
  <si>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</si>
  <si>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</si>
  <si>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</si>
  <si>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</si>
  <si>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</si>
  <si>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</si>
  <si>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</si>
  <si>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</si>
  <si>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</si>
  <si>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</si>
  <si>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</si>
  <si>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</si>
  <si>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</si>
  <si>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</si>
  <si>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</si>
  <si>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</si>
  <si>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</si>
  <si>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</si>
  <si>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</si>
  <si>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</si>
  <si>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</si>
  <si>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</si>
  <si>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</si>
  <si>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</si>
  <si>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</si>
  <si>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</si>
  <si>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</si>
  <si>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</si>
  <si>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</si>
  <si>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</si>
  <si>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</si>
  <si>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</si>
  <si>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</si>
  <si>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</si>
  <si>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</si>
  <si>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</si>
  <si>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</si>
  <si>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</si>
  <si>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</si>
  <si>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</si>
  <si>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</si>
  <si>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</si>
  <si>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</si>
  <si>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</si>
  <si>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</si>
  <si>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</si>
  <si>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</si>
  <si>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</si>
  <si>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</si>
  <si>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</si>
  <si>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</si>
  <si>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</si>
  <si>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</si>
  <si>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</si>
  <si>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</si>
  <si>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</si>
  <si>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</si>
  <si>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</si>
  <si>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</si>
  <si>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</si>
  <si>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</si>
  <si>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</si>
  <si>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</si>
  <si>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</si>
  <si>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</si>
  <si>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</si>
  <si>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</si>
  <si>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</si>
  <si>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</si>
  <si>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</si>
  <si>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</si>
  <si>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</si>
  <si>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</si>
  <si>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</si>
  <si>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</si>
  <si>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</si>
  <si>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</si>
  <si>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</si>
  <si>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</si>
  <si>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</si>
  <si>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</si>
  <si>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</si>
  <si>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</si>
  <si>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</si>
  <si>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</si>
  <si>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</si>
  <si>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</si>
  <si>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</si>
  <si>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</si>
  <si>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</si>
  <si>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</si>
  <si>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</si>
  <si>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</si>
  <si>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</si>
  <si>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</si>
  <si>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</si>
  <si>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</si>
  <si>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</si>
  <si>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</si>
  <si>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</si>
  <si>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</si>
  <si>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</si>
  <si>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</si>
  <si>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</si>
  <si>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</si>
  <si>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</si>
  <si>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</si>
  <si>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</si>
  <si>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</si>
  <si>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</si>
  <si>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</si>
  <si>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</si>
  <si>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</si>
  <si>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</si>
  <si>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</si>
  <si>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</si>
  <si>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</si>
  <si>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</si>
  <si>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</si>
  <si>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</si>
  <si>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</si>
  <si>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</si>
  <si>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</si>
  <si>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</si>
  <si>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</si>
  <si>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</si>
  <si>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</si>
  <si>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</si>
  <si>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</si>
  <si>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</si>
  <si>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</si>
  <si>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</si>
  <si>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</si>
  <si>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</si>
  <si>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</si>
  <si>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</si>
  <si>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</si>
  <si>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</si>
  <si>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</si>
  <si>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</si>
  <si>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</si>
  <si>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</si>
  <si>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</si>
  <si>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</si>
  <si>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</si>
  <si>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</si>
  <si>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</si>
  <si>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</si>
  <si>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</si>
  <si>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</si>
  <si>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</si>
  <si>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</si>
  <si>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</si>
  <si>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</si>
  <si>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</si>
  <si>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</si>
  <si>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</si>
  <si>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</si>
  <si>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</si>
  <si>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</si>
  <si>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</si>
  <si>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</si>
  <si>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</si>
  <si>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</si>
  <si>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</si>
  <si>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</si>
  <si>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</si>
  <si>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</si>
  <si>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</si>
  <si>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</si>
  <si>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</si>
  <si>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</si>
  <si>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</si>
  <si>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</si>
  <si>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</si>
  <si>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</si>
  <si>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</si>
  <si>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</si>
  <si>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</si>
  <si>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</si>
  <si>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</si>
  <si>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</si>
  <si>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</si>
  <si>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</si>
  <si>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</si>
  <si>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</si>
  <si>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</si>
  <si>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</si>
  <si>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</si>
  <si>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</si>
  <si>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</si>
  <si>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</si>
  <si>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</si>
  <si>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</si>
  <si>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</si>
  <si>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</si>
  <si>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</si>
  <si>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</si>
  <si>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</si>
  <si>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</si>
  <si>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</si>
  <si>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</si>
  <si>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</si>
  <si>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</si>
  <si>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</si>
  <si>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</si>
  <si>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</si>
  <si>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</si>
  <si>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</si>
  <si>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</si>
  <si>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</si>
  <si>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</si>
  <si>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</si>
  <si>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</si>
  <si>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</si>
  <si>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</si>
  <si>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</si>
  <si>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</si>
  <si>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</si>
  <si>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</si>
  <si>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</si>
  <si>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</si>
  <si>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</si>
  <si>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</si>
  <si>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</si>
  <si>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</si>
  <si>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</si>
  <si>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</si>
  <si>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</si>
  <si>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</si>
  <si>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</si>
  <si>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</si>
  <si>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</si>
  <si>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</si>
  <si>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</si>
  <si>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</si>
  <si>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</si>
  <si>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</si>
  <si>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</si>
  <si>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</si>
  <si>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</si>
  <si>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</si>
  <si>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</si>
  <si>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</si>
  <si>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</si>
  <si>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</si>
  <si>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</si>
  <si>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</si>
  <si>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</si>
  <si>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</si>
  <si>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</si>
  <si>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</si>
  <si>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</si>
  <si>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</si>
  <si>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</si>
  <si>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</si>
  <si>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</si>
  <si>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</si>
  <si>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</si>
  <si>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</si>
  <si>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</si>
  <si>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</si>
  <si>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</si>
  <si>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</si>
  <si>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</si>
  <si>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</si>
  <si>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</si>
  <si>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</si>
  <si>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</si>
  <si>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</si>
  <si>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</si>
  <si>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</si>
  <si>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</si>
  <si>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</si>
  <si>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</si>
  <si>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</si>
  <si>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</si>
  <si>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</si>
  <si>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</si>
  <si>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</si>
  <si>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</si>
  <si>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</si>
  <si>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</si>
  <si>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</si>
  <si>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</si>
  <si>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</si>
  <si>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</si>
  <si>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</si>
  <si>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</si>
  <si>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</si>
  <si>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</si>
  <si>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</si>
  <si>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</si>
  <si>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</si>
  <si>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</si>
  <si>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</si>
  <si>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</si>
  <si>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</si>
  <si>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</si>
  <si>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</si>
  <si>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</si>
  <si>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</si>
  <si>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</si>
  <si>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</si>
  <si>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</si>
  <si>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</si>
  <si>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</si>
  <si>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</si>
  <si>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</si>
  <si>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</si>
  <si>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</si>
  <si>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</si>
  <si>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</si>
  <si>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</si>
  <si>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</si>
  <si>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</si>
  <si>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</si>
  <si>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</si>
  <si>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</si>
  <si>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</si>
  <si>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</si>
  <si>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</si>
  <si>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</si>
  <si>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</si>
  <si>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</si>
  <si>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</si>
  <si>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</si>
  <si>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</si>
  <si>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</si>
  <si>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</si>
  <si>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</si>
  <si>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</si>
  <si>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</si>
  <si>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</si>
  <si>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</si>
  <si>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</si>
  <si>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</si>
  <si>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</si>
  <si>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</si>
  <si>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</si>
  <si>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</si>
  <si>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</si>
  <si>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</si>
  <si>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</si>
  <si>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</si>
  <si>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</si>
  <si>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</si>
  <si>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</si>
  <si>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</si>
  <si>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</si>
  <si>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</si>
  <si>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</si>
  <si>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</si>
  <si>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</si>
  <si>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</si>
  <si>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</si>
  <si>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</si>
  <si>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</si>
  <si>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</si>
  <si>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</si>
  <si>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</si>
  <si>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</si>
  <si>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</si>
  <si>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</si>
  <si>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</si>
  <si>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</si>
  <si>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</si>
  <si>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</si>
  <si>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</si>
  <si>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</si>
  <si>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</si>
  <si>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</si>
  <si>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</si>
  <si>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</si>
  <si>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</si>
  <si>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</si>
  <si>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</si>
  <si>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</si>
  <si>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</si>
  <si>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</si>
  <si>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</si>
  <si>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</si>
  <si>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</si>
  <si>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</si>
  <si>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</si>
  <si>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</si>
  <si>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</si>
  <si>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</si>
  <si>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</si>
  <si>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</si>
  <si>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</si>
  <si>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</si>
  <si>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</si>
  <si>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</si>
  <si>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</si>
  <si>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</si>
  <si>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</si>
  <si>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</si>
  <si>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</si>
  <si>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</si>
  <si>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</si>
  <si>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</si>
  <si>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</si>
  <si>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</si>
  <si>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</si>
  <si>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</si>
  <si>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</si>
  <si>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</si>
  <si>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</si>
  <si>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</si>
  <si>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</si>
  <si>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</si>
  <si>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</si>
  <si>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</si>
  <si>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</si>
  <si>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</si>
  <si>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</si>
  <si>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</si>
  <si>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</si>
  <si>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</si>
  <si>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</si>
  <si>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</si>
  <si>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</si>
  <si>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</si>
  <si>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</si>
  <si>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</si>
  <si>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</si>
  <si>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</si>
  <si>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</si>
  <si>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</si>
  <si>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</si>
  <si>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</si>
  <si>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</si>
  <si>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</si>
  <si>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</si>
  <si>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</si>
  <si>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</si>
  <si>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</si>
  <si>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</si>
  <si>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</si>
  <si>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</si>
  <si>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</si>
  <si>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</si>
  <si>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</si>
  <si>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</si>
  <si>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</si>
  <si>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</si>
  <si>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</si>
  <si>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</si>
  <si>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</si>
  <si>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</si>
  <si>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</si>
  <si>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</si>
  <si>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</si>
  <si>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</si>
  <si>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</si>
  <si>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</si>
  <si>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</si>
  <si>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</si>
  <si>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</si>
  <si>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</si>
  <si>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</si>
  <si>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</si>
  <si>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</si>
  <si>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</si>
  <si>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</si>
  <si>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</si>
  <si>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</si>
  <si>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</si>
  <si>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</si>
  <si>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</si>
  <si>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</si>
  <si>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</si>
  <si>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</si>
  <si>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</si>
  <si>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</si>
  <si>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</si>
  <si>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</si>
  <si>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</si>
  <si>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</si>
  <si>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</si>
  <si>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</si>
  <si>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</si>
  <si>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</si>
  <si>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</si>
  <si>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</si>
  <si>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</si>
  <si>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</si>
  <si>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</si>
  <si>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</si>
  <si>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</si>
  <si>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</si>
  <si>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</si>
  <si>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</si>
  <si>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</si>
  <si>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</si>
  <si>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</si>
  <si>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</si>
  <si>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</si>
  <si>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</si>
  <si>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</si>
  <si>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</si>
  <si>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</si>
  <si>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</si>
  <si>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</si>
  <si>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</si>
  <si>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</si>
  <si>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</si>
  <si>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</si>
  <si>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</si>
  <si>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</si>
  <si>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</si>
  <si>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</si>
  <si>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</si>
  <si>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</si>
  <si>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</si>
  <si>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</si>
  <si>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</si>
  <si>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</si>
  <si>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</si>
  <si>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</si>
  <si>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</si>
  <si>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</si>
  <si>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</si>
  <si>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</si>
  <si>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</si>
  <si>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</si>
  <si>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</si>
  <si>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</si>
  <si>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</si>
  <si>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</si>
  <si>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</si>
  <si>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</si>
  <si>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</si>
  <si>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</si>
  <si>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</si>
  <si>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</si>
  <si>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</si>
  <si>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</si>
  <si>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</si>
  <si>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</si>
  <si>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</si>
  <si>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</si>
  <si>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</si>
  <si>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</si>
  <si>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</si>
  <si>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</si>
  <si>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</si>
  <si>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</si>
  <si>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</si>
  <si>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</si>
  <si>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</si>
  <si>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</si>
  <si>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</si>
  <si>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</si>
  <si>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</si>
  <si>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</si>
  <si>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</si>
  <si>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</si>
  <si>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</si>
  <si>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</si>
  <si>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</si>
  <si>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</si>
  <si>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</si>
  <si>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</si>
  <si>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</si>
  <si>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</si>
  <si>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</si>
  <si>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</si>
  <si>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</si>
  <si>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</si>
  <si>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</si>
  <si>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</si>
  <si>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</si>
  <si>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</si>
  <si>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</si>
  <si>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</si>
  <si>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</si>
  <si>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</si>
  <si>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</si>
  <si>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</si>
  <si>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</si>
  <si>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</si>
  <si>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</si>
  <si>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</si>
  <si>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</si>
  <si>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</si>
  <si>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</si>
  <si>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</si>
  <si>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</si>
  <si>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</si>
  <si>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</si>
  <si>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</si>
  <si>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</si>
  <si>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</si>
  <si>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</si>
  <si>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</si>
  <si>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</si>
  <si>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</si>
  <si>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</si>
  <si>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</si>
  <si>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</si>
  <si>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</si>
  <si>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</si>
  <si>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</si>
  <si>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</si>
  <si>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</si>
  <si>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</si>
  <si>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</si>
  <si>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</si>
  <si>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</si>
  <si>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</si>
  <si>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</si>
  <si>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</si>
  <si>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</si>
  <si>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</si>
  <si>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</si>
  <si>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</si>
  <si>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</si>
  <si>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</si>
  <si>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</si>
  <si>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</si>
  <si>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</si>
  <si>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</si>
  <si>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</si>
  <si>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</si>
  <si>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</si>
  <si>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</si>
  <si>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</si>
  <si>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</si>
  <si>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</si>
  <si>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</si>
  <si>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</si>
  <si>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</si>
  <si>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</si>
  <si>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</si>
  <si>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</si>
  <si>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</si>
  <si>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</si>
  <si>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</si>
  <si>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</si>
  <si>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</si>
  <si>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</si>
  <si>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</si>
  <si>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</si>
  <si>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</si>
  <si>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</si>
  <si>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</si>
  <si>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</si>
  <si>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</si>
  <si>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</si>
  <si>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</si>
  <si>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</si>
  <si>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</si>
  <si>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</si>
  <si>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</si>
  <si>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</si>
  <si>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</si>
  <si>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</si>
  <si>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</si>
  <si>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</si>
  <si>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</si>
  <si>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</si>
  <si>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</si>
  <si>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</si>
  <si>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</si>
  <si>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</si>
  <si>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</si>
  <si>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</si>
  <si>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</si>
  <si>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</si>
  <si>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</si>
  <si>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</si>
  <si>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</si>
  <si>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</si>
  <si>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</si>
  <si>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</si>
  <si>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</si>
  <si>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</si>
  <si>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</si>
  <si>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</si>
  <si>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</si>
  <si>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</si>
  <si>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</si>
  <si>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</si>
  <si>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</si>
  <si>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</si>
  <si>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</si>
  <si>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</si>
  <si>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</si>
  <si>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</si>
  <si>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</si>
  <si>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</si>
  <si>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</si>
  <si>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</si>
  <si>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</si>
  <si>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</si>
  <si>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</si>
  <si>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</si>
  <si>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</si>
  <si>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</si>
  <si>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</si>
  <si>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</si>
  <si>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</si>
  <si>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</si>
  <si>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</si>
  <si>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</si>
  <si>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</si>
  <si>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</si>
  <si>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</si>
  <si>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</si>
  <si>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</si>
  <si>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</si>
  <si>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</si>
  <si>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</si>
  <si>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</si>
  <si>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</si>
  <si>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</si>
  <si>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</si>
  <si>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</si>
  <si>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</si>
  <si>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</si>
  <si>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</si>
  <si>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</si>
  <si>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</si>
  <si>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</si>
  <si>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</si>
  <si>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</si>
  <si>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</si>
  <si>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</si>
  <si>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</si>
  <si>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</si>
  <si>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</si>
  <si>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</si>
  <si>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</si>
  <si>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</si>
  <si>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</si>
  <si>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</si>
  <si>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</si>
  <si>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</si>
  <si>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</si>
  <si>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</si>
  <si>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</si>
  <si>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</si>
  <si>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</si>
  <si>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</si>
  <si>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</si>
  <si>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</si>
  <si>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</si>
  <si>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</si>
  <si>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</si>
  <si>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</si>
  <si>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</si>
  <si>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</si>
  <si>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</si>
  <si>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</si>
  <si>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</si>
  <si>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</si>
  <si>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</si>
  <si>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</si>
  <si>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</si>
  <si>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</si>
  <si>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</si>
  <si>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</si>
  <si>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</si>
  <si>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</si>
  <si>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</si>
  <si>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</si>
  <si>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</si>
  <si>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</si>
  <si>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</si>
  <si>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</si>
  <si>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</si>
  <si>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</si>
  <si>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</si>
  <si>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</si>
  <si>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</si>
  <si>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</si>
  <si>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</si>
  <si>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</si>
  <si>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</si>
  <si>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</si>
  <si>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</si>
  <si>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</si>
  <si>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</si>
  <si>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</si>
  <si>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</si>
  <si>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</si>
  <si>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</si>
  <si>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</si>
  <si>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</si>
  <si>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</si>
  <si>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</si>
  <si>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</si>
  <si>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</si>
  <si>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</si>
  <si>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</si>
  <si>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</si>
  <si>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</si>
  <si>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</si>
  <si>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</si>
  <si>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</si>
  <si>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</si>
  <si>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</si>
  <si>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</si>
  <si>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</si>
  <si>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</si>
  <si>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</si>
  <si>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</si>
  <si>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</si>
  <si>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</si>
  <si>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</si>
  <si>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</si>
  <si>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</si>
  <si>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</si>
  <si>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</si>
  <si>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</si>
  <si>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</si>
  <si>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</si>
  <si>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</si>
  <si>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</si>
  <si>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</si>
  <si>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</si>
  <si>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</si>
  <si>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</si>
  <si>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</si>
  <si>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</si>
  <si>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</si>
  <si>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</si>
  <si>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</si>
  <si>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</si>
  <si>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</si>
  <si>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</si>
  <si>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</si>
  <si>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</si>
  <si>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</si>
  <si>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</si>
  <si>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</si>
  <si>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</si>
  <si>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</si>
  <si>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</si>
  <si>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</si>
  <si>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</si>
  <si>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</si>
  <si>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</si>
  <si>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</si>
  <si>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</si>
  <si>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</si>
  <si>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</si>
  <si>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</si>
  <si>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</si>
  <si>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</si>
  <si>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</si>
  <si>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</si>
  <si>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</si>
  <si>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</si>
  <si>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</si>
  <si>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</si>
  <si>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</si>
  <si>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</si>
  <si>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</si>
  <si>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</si>
  <si>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</si>
  <si>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</si>
  <si>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</si>
  <si>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</si>
  <si>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</si>
  <si>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</si>
  <si>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</si>
  <si>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</si>
  <si>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</si>
  <si>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</si>
  <si>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</si>
  <si>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</si>
  <si>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</si>
  <si>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</si>
  <si>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</si>
  <si>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</si>
  <si>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</si>
  <si>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</si>
  <si>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</si>
  <si>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</si>
  <si>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</si>
  <si>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</si>
  <si>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</si>
  <si>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</si>
  <si>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</si>
  <si>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</si>
  <si>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</si>
  <si>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</si>
  <si>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</si>
  <si>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</si>
  <si>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</si>
  <si>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</si>
  <si>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</si>
  <si>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</si>
  <si>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</si>
  <si>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</si>
  <si>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</si>
  <si>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</si>
  <si>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</si>
  <si>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</si>
  <si>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</si>
  <si>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</si>
  <si>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</si>
  <si>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</si>
  <si>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</si>
  <si>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</si>
  <si>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</si>
  <si>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</si>
  <si>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</si>
  <si>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</si>
  <si>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</si>
  <si>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</si>
  <si>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</si>
  <si>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</si>
  <si>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</si>
  <si>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</si>
  <si>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</si>
  <si>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</si>
  <si>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</si>
  <si>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</si>
  <si>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</si>
  <si>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</si>
  <si>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</si>
  <si>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</si>
  <si>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</si>
  <si>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</si>
  <si>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</si>
  <si>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</si>
  <si>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</si>
  <si>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</si>
  <si>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</si>
  <si>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</si>
  <si>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</si>
  <si>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</si>
  <si>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</si>
  <si>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</si>
  <si>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</si>
  <si>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</si>
  <si>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</si>
  <si>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</si>
  <si>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</si>
  <si>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</si>
  <si>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</si>
  <si>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</si>
  <si>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</si>
  <si>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</si>
  <si>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</si>
  <si>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</si>
  <si>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</si>
  <si>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</si>
  <si>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</si>
  <si>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</si>
  <si>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</si>
  <si>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</si>
  <si>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</si>
  <si>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</si>
  <si>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</si>
  <si>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</si>
  <si>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</si>
  <si>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</si>
  <si>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</si>
  <si>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</si>
  <si>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</si>
  <si>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</si>
  <si>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</si>
  <si>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</si>
  <si>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</si>
  <si>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</si>
  <si>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</si>
  <si>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</si>
  <si>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</si>
  <si>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</si>
  <si>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</si>
  <si>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</si>
  <si>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</si>
  <si>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</si>
  <si>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</si>
  <si>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</si>
  <si>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</si>
  <si>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</si>
  <si>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</si>
  <si>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</si>
  <si>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</si>
  <si>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</si>
  <si>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</si>
  <si>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</si>
  <si>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</si>
  <si>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</si>
  <si>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</si>
  <si>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</si>
  <si>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</si>
  <si>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</si>
  <si>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</si>
  <si>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</si>
  <si>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</si>
  <si>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</si>
  <si>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</si>
  <si>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</si>
  <si>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</si>
  <si>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</si>
  <si>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</si>
  <si>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</si>
  <si>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</si>
  <si>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</si>
  <si>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</si>
  <si>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</si>
  <si>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</si>
  <si>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</si>
  <si>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</si>
  <si>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</si>
  <si>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</si>
  <si>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</si>
  <si>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</si>
  <si>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</si>
  <si>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</si>
  <si>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</si>
  <si>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</si>
  <si>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</si>
  <si>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</si>
  <si>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</si>
  <si>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</si>
  <si>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</si>
  <si>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</si>
  <si>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</si>
  <si>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</si>
  <si>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</si>
  <si>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</si>
  <si>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</si>
  <si>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</si>
  <si>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</si>
  <si>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</si>
  <si>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</si>
  <si>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</si>
  <si>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</si>
  <si>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</si>
  <si>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</si>
  <si>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</si>
  <si>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</si>
  <si>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</si>
  <si>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</si>
  <si>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</si>
  <si>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</si>
  <si>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</si>
  <si>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</si>
  <si>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</si>
  <si>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</si>
  <si>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</si>
  <si>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</si>
  <si>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</si>
  <si>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</si>
  <si>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</si>
  <si>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</si>
  <si>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</si>
  <si>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</si>
  <si>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</si>
  <si>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</si>
  <si>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</si>
  <si>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</si>
  <si>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</si>
  <si>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</si>
  <si>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</si>
  <si>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</si>
  <si>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</si>
  <si>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</si>
  <si>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</si>
  <si>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</si>
  <si>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</si>
  <si>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</si>
  <si>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</si>
  <si>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</si>
  <si>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</si>
  <si>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</si>
  <si>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</si>
  <si>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</si>
  <si>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</si>
  <si>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</si>
  <si>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</si>
  <si>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</si>
  <si>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</si>
  <si>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</si>
  <si>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</si>
  <si>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</si>
  <si>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</si>
  <si>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</si>
  <si>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</si>
  <si>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</si>
  <si>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</si>
  <si>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</si>
  <si>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</si>
  <si>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</si>
  <si>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</si>
  <si>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</si>
  <si>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</si>
  <si>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</si>
  <si>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</si>
  <si>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</si>
  <si>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</si>
  <si>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</si>
  <si>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</si>
  <si>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</si>
  <si>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</si>
  <si>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</si>
  <si>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</si>
  <si>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</si>
  <si>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</si>
  <si>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</si>
  <si>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</si>
  <si>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</si>
  <si>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</si>
  <si>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</si>
  <si>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</si>
  <si>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</si>
  <si>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</si>
  <si>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</si>
  <si>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</si>
  <si>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</si>
  <si>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</si>
  <si>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</si>
  <si>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</si>
  <si>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</si>
  <si>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</si>
  <si>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</si>
  <si>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</si>
  <si>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</si>
  <si>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</si>
  <si>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</si>
  <si>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</si>
  <si>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</si>
  <si>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</si>
  <si>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</si>
  <si>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</si>
  <si>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</si>
  <si>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</si>
  <si>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</si>
  <si>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</si>
  <si>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</si>
  <si>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</si>
  <si>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</si>
  <si>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</si>
  <si>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</si>
  <si>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</si>
  <si>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</si>
  <si>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</si>
  <si>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</si>
  <si>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</si>
  <si>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</si>
  <si>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</si>
  <si>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</si>
  <si>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</si>
  <si>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</si>
  <si>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</si>
  <si>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</si>
  <si>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</si>
  <si>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</si>
  <si>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</si>
  <si>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</si>
  <si>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</si>
  <si>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</si>
  <si>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</si>
  <si>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</si>
  <si>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</si>
  <si>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</si>
  <si>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</si>
  <si>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</si>
  <si>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</si>
  <si>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</si>
  <si>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</si>
  <si>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</si>
  <si>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</si>
  <si>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</si>
  <si>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</si>
  <si>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</si>
  <si>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</si>
  <si>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</si>
  <si>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</si>
  <si>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</si>
  <si>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</si>
  <si>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</si>
  <si>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</si>
  <si>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</si>
  <si>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</si>
  <si>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</si>
  <si>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</si>
  <si>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</si>
  <si>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</si>
  <si>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</si>
  <si>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</si>
  <si>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</si>
  <si>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</si>
  <si>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</si>
  <si>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</si>
  <si>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</si>
  <si>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</si>
  <si>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</si>
  <si>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</si>
  <si>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</si>
  <si>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</si>
  <si>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</si>
  <si>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</si>
  <si>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</si>
  <si>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</si>
  <si>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</si>
  <si>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</si>
  <si>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</si>
  <si>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</si>
  <si>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</si>
  <si>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</si>
  <si>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</si>
  <si>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</si>
  <si>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</si>
  <si>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</si>
  <si>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</si>
  <si>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</si>
  <si>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</si>
  <si>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</si>
  <si>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</si>
  <si>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</si>
  <si>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</si>
  <si>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</si>
  <si>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</si>
  <si>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</si>
  <si>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</si>
  <si>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</si>
  <si>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</si>
  <si>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</si>
  <si>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</si>
  <si>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</si>
  <si>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</si>
  <si>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</si>
  <si>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</si>
  <si>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</si>
  <si>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</si>
  <si>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</si>
  <si>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</si>
  <si>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</si>
  <si>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</si>
  <si>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</si>
  <si>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</si>
  <si>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</si>
  <si>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</si>
  <si>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</si>
  <si>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</si>
  <si>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</si>
  <si>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</si>
  <si>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</si>
  <si>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</si>
  <si>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</si>
  <si>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</si>
  <si>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</si>
  <si>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</si>
  <si>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</si>
  <si>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</si>
  <si>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</si>
  <si>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</si>
  <si>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</si>
  <si>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</si>
  <si>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</si>
  <si>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</si>
  <si>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</si>
  <si>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</si>
  <si>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</si>
  <si>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</si>
  <si>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</si>
  <si>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</si>
  <si>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</si>
  <si>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</si>
  <si>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</si>
  <si>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</si>
  <si>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</si>
  <si>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</si>
  <si>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</si>
  <si>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</si>
  <si>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</si>
  <si>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</si>
  <si>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</si>
  <si>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</si>
  <si>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</si>
  <si>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</si>
  <si>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</si>
  <si>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</si>
  <si>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</si>
  <si>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</si>
  <si>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</si>
  <si>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</si>
  <si>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</si>
  <si>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</si>
  <si>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</si>
  <si>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</si>
  <si>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</si>
  <si>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</si>
  <si>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</si>
  <si>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</si>
  <si>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</si>
  <si>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</si>
  <si>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</si>
  <si>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</si>
  <si>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</si>
  <si>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</si>
  <si>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</si>
  <si>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</si>
  <si>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</si>
  <si>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</si>
  <si>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</si>
  <si>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</si>
  <si>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</si>
  <si>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</si>
  <si>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</si>
  <si>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</si>
  <si>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</si>
  <si>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</si>
  <si>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</si>
  <si>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</si>
  <si>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</si>
  <si>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</si>
  <si>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</si>
  <si>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</si>
  <si>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</si>
  <si>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</si>
  <si>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</si>
  <si>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</si>
  <si>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</si>
  <si>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</si>
  <si>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</si>
  <si>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</si>
  <si>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</si>
  <si>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</si>
  <si>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</si>
  <si>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</si>
  <si>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</si>
  <si>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</si>
  <si>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</si>
  <si>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</si>
  <si>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</si>
  <si>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</si>
  <si>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</si>
  <si>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</si>
  <si>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</si>
  <si>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</si>
  <si>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</si>
  <si>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</si>
  <si>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</si>
  <si>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</si>
  <si>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</si>
  <si>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</si>
  <si>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</si>
  <si>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</si>
  <si>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</si>
  <si>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</si>
  <si>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</si>
  <si>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</si>
  <si>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</si>
  <si>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</si>
  <si>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</si>
  <si>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</si>
  <si>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</si>
  <si>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</si>
  <si>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</si>
  <si>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</si>
  <si>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</si>
  <si>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</si>
  <si>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</si>
  <si>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</si>
  <si>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</si>
  <si>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</si>
  <si>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</si>
  <si>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</si>
  <si>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</si>
  <si>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</si>
  <si>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</si>
  <si>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</si>
  <si>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</si>
  <si>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</si>
  <si>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</si>
  <si>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</si>
  <si>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</si>
  <si>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</si>
  <si>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</si>
  <si>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</si>
  <si>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</si>
  <si>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</si>
  <si>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</si>
  <si>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</si>
  <si>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</si>
  <si>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</si>
  <si>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</si>
  <si>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</si>
  <si>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</si>
  <si>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</si>
  <si>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</si>
  <si>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</si>
  <si>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</si>
  <si>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</si>
  <si>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</si>
  <si>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</si>
  <si>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</si>
  <si>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</si>
  <si>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</si>
  <si>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</si>
  <si>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</si>
  <si>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</si>
  <si>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</si>
  <si>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</si>
  <si>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</si>
  <si>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</si>
  <si>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</si>
  <si>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</si>
  <si>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</si>
  <si>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</si>
  <si>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</si>
  <si>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</si>
  <si>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</si>
  <si>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</si>
  <si>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</si>
  <si>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</si>
  <si>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</si>
  <si>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</si>
  <si>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</si>
  <si>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</si>
  <si>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</si>
  <si>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</si>
  <si>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</si>
  <si>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</si>
  <si>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</si>
  <si>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</si>
  <si>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</si>
  <si>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</si>
  <si>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</si>
  <si>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</si>
  <si>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</si>
  <si>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</si>
  <si>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</si>
  <si>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</si>
  <si>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</si>
  <si>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</si>
  <si>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</si>
  <si>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</si>
  <si>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</si>
  <si>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</si>
  <si>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</si>
  <si>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</si>
  <si>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</si>
  <si>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</si>
  <si>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</si>
  <si>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</si>
  <si>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</si>
  <si>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</si>
  <si>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</si>
  <si>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</si>
  <si>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</si>
  <si>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</si>
  <si>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</si>
  <si>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</si>
  <si>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</si>
  <si>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</si>
  <si>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</si>
  <si>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</si>
  <si>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</si>
  <si>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</si>
  <si>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</si>
  <si>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</si>
  <si>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</si>
  <si>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</si>
  <si>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</si>
  <si>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</si>
  <si>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</si>
  <si>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</si>
  <si>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</si>
  <si>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</si>
  <si>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</si>
  <si>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</si>
  <si>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</si>
  <si>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</si>
  <si>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</si>
  <si>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</si>
  <si>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</si>
  <si>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</si>
  <si>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</si>
  <si>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</si>
  <si>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</si>
  <si>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</si>
  <si>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</si>
  <si>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</si>
  <si>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</si>
  <si>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</si>
  <si>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</si>
  <si>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</si>
  <si>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</si>
  <si>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</si>
  <si>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</si>
  <si>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</si>
  <si>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</si>
  <si>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</si>
  <si>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</si>
  <si>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</si>
  <si>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</si>
  <si>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</si>
  <si>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</si>
  <si>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</si>
  <si>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</si>
  <si>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</si>
  <si>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</si>
  <si>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</si>
  <si>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</si>
  <si>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</si>
  <si>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</si>
  <si>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</si>
  <si>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</si>
  <si>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</si>
  <si>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</si>
  <si>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</si>
  <si>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</si>
  <si>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</si>
  <si>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</si>
  <si>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</si>
  <si>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</si>
  <si>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</si>
  <si>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</si>
  <si>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</si>
  <si>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</si>
  <si>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</si>
  <si>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</si>
  <si>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</si>
  <si>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</si>
  <si>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</si>
  <si>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</si>
  <si>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</si>
  <si>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</si>
  <si>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</si>
  <si>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</si>
  <si>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</si>
  <si>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</si>
  <si>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</si>
  <si>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</si>
  <si>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</si>
  <si>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</si>
  <si>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</si>
  <si>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</si>
  <si>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</si>
  <si>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</si>
  <si>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</si>
  <si>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</si>
  <si>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</si>
  <si>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</si>
  <si>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</si>
  <si>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</si>
  <si>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</si>
  <si>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</si>
  <si>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</si>
  <si>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</si>
  <si>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</si>
  <si>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</si>
  <si>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</si>
  <si>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</si>
  <si>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</si>
  <si>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</si>
  <si>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</si>
  <si>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</si>
  <si>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</si>
  <si>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</si>
  <si>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</si>
  <si>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</si>
  <si>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</si>
  <si>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</si>
  <si>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</si>
  <si>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</si>
  <si>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</si>
  <si>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</si>
  <si>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</si>
  <si>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</si>
  <si>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</si>
  <si>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</si>
  <si>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</si>
  <si>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</si>
  <si>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</si>
  <si>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</si>
  <si>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</si>
  <si>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</si>
  <si>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</si>
  <si>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</si>
  <si>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</si>
  <si>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</si>
  <si>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</si>
  <si>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</si>
  <si>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</si>
  <si>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</si>
  <si>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</si>
  <si>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</si>
  <si>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</si>
  <si>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</si>
  <si>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</si>
  <si>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</si>
  <si>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</si>
  <si>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</si>
  <si>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</si>
  <si>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</si>
  <si>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</si>
  <si>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</si>
  <si>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</si>
  <si>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</si>
  <si>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</si>
  <si>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</si>
  <si>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</si>
  <si>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</si>
  <si>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</si>
  <si>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</si>
  <si>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</si>
  <si>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</si>
  <si>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</si>
  <si>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</si>
  <si>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</si>
  <si>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</si>
  <si>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</si>
  <si>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</si>
  <si>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</si>
  <si>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</si>
  <si>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</si>
  <si>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</si>
  <si>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</si>
  <si>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</si>
  <si>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</si>
  <si>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</si>
  <si>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</si>
  <si>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</si>
  <si>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</si>
  <si>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</si>
  <si>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</si>
  <si>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</si>
  <si>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</si>
  <si>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</si>
  <si>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</si>
  <si>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</si>
  <si>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</si>
  <si>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</si>
  <si>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</si>
  <si>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</si>
  <si>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</si>
  <si>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</si>
  <si>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</si>
  <si>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</si>
  <si>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</si>
  <si>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</si>
  <si>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</si>
  <si>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</si>
  <si>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</si>
  <si>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</si>
  <si>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</si>
  <si>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</si>
  <si>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</si>
  <si>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</si>
  <si>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</si>
  <si>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</si>
  <si>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</si>
  <si>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</si>
  <si>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</si>
  <si>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</si>
  <si>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</si>
  <si>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</si>
  <si>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</si>
  <si>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</si>
  <si>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</si>
  <si>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</si>
  <si>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</si>
  <si>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</si>
  <si>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</si>
  <si>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</si>
  <si>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</si>
  <si>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</si>
  <si>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</si>
  <si>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</si>
  <si>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</si>
  <si>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</si>
  <si>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</si>
  <si>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</si>
  <si>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</si>
  <si>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</si>
  <si>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</si>
  <si>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</si>
  <si>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</si>
  <si>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</si>
  <si>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</si>
  <si>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</si>
  <si>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</si>
  <si>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</si>
  <si>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</si>
  <si>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</si>
  <si>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</si>
  <si>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</si>
  <si>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</si>
  <si>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</si>
  <si>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</si>
  <si>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</si>
  <si>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</si>
  <si>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</si>
  <si>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</si>
  <si>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</si>
  <si>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</si>
  <si>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</si>
  <si>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</si>
  <si>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</si>
  <si>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</si>
  <si>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</si>
  <si>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</si>
  <si>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</si>
  <si>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</si>
  <si>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</si>
  <si>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</si>
  <si>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</si>
  <si>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</si>
  <si>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</si>
  <si>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</si>
  <si>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</si>
  <si>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</si>
  <si>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</si>
  <si>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</si>
  <si>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</si>
  <si>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</si>
  <si>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</si>
  <si>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</si>
  <si>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</si>
  <si>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</si>
  <si>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</si>
  <si>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</si>
  <si>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</si>
  <si>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</si>
  <si>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</si>
  <si>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</si>
  <si>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</si>
  <si>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</si>
  <si>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</si>
  <si>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</si>
  <si>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</si>
  <si>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</si>
  <si>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</si>
  <si>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</si>
  <si>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</si>
  <si>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</si>
  <si>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</si>
  <si>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</si>
  <si>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</si>
  <si>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</si>
  <si>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</si>
  <si>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</si>
  <si>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</si>
  <si>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</si>
  <si>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</si>
  <si>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</si>
  <si>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</si>
  <si>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</si>
  <si>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</si>
  <si>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</si>
  <si>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</si>
  <si>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</si>
  <si>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</si>
  <si>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</si>
  <si>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</si>
  <si>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</si>
  <si>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</si>
  <si>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</si>
  <si>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</si>
  <si>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</si>
  <si>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</si>
  <si>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</si>
  <si>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</si>
  <si>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</si>
  <si>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</si>
  <si>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</si>
  <si>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</si>
  <si>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</si>
  <si>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</si>
  <si>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</si>
  <si>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</si>
  <si>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</si>
  <si>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</si>
  <si>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</si>
  <si>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</si>
  <si>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</si>
  <si>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</si>
  <si>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</si>
  <si>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</si>
  <si>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</si>
  <si>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</si>
  <si>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</si>
  <si>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</si>
  <si>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</si>
  <si>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</si>
  <si>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</si>
  <si>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</si>
  <si>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</si>
  <si>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</si>
  <si>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</si>
  <si>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</si>
  <si>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</si>
  <si>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</si>
  <si>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</si>
  <si>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</si>
  <si>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</si>
  <si>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</si>
  <si>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</si>
  <si>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</si>
  <si>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</si>
  <si>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</si>
  <si>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</si>
  <si>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</si>
  <si>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</si>
  <si>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</si>
  <si>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</si>
  <si>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</si>
  <si>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</si>
  <si>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</si>
  <si>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</si>
  <si>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</si>
  <si>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</si>
  <si>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</si>
  <si>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</si>
  <si>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</si>
  <si>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</si>
  <si>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</si>
  <si>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</si>
  <si>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</si>
  <si>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</si>
  <si>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</si>
  <si>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</si>
  <si>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</si>
  <si>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</si>
  <si>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</si>
  <si>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</si>
  <si>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</si>
  <si>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</si>
  <si>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</si>
  <si>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</si>
  <si>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</si>
  <si>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</si>
  <si>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</si>
  <si>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</si>
  <si>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</si>
  <si>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</si>
  <si>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</si>
  <si>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</si>
  <si>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</si>
  <si>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</si>
  <si>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</si>
  <si>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</si>
  <si>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</si>
  <si>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</si>
  <si>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</si>
  <si>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</si>
  <si>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</si>
  <si>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</si>
  <si>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</si>
  <si>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</si>
  <si>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</si>
  <si>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</si>
  <si>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</si>
  <si>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</si>
  <si>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</si>
  <si>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</si>
  <si>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</si>
  <si>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</si>
  <si>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</si>
  <si>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</si>
  <si>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</si>
  <si>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</si>
  <si>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</si>
  <si>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</si>
  <si>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</si>
  <si>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</si>
  <si>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</si>
  <si>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</si>
  <si>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</si>
  <si>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</si>
  <si>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</si>
  <si>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</si>
  <si>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</si>
  <si>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</si>
  <si>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</si>
  <si>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</si>
  <si>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</si>
  <si>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</si>
  <si>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</si>
  <si>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</si>
  <si>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</si>
  <si>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</si>
  <si>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</si>
  <si>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</si>
  <si>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</si>
  <si>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</si>
  <si>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</si>
  <si>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</si>
  <si>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</si>
  <si>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</si>
  <si>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</si>
  <si>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</si>
  <si>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</si>
  <si>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</si>
  <si>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</si>
  <si>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</si>
  <si>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</si>
  <si>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</si>
  <si>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</si>
  <si>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</si>
  <si>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</si>
  <si>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</si>
  <si>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</si>
  <si>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</si>
  <si>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</si>
  <si>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</si>
  <si>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</si>
  <si>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</si>
  <si>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</si>
  <si>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</si>
  <si>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</si>
  <si>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</si>
  <si>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</si>
  <si>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</si>
  <si>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</si>
  <si>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</si>
  <si>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</si>
  <si>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</si>
  <si>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</si>
  <si>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</si>
  <si>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</si>
  <si>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</si>
  <si>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</si>
  <si>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</si>
  <si>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</si>
  <si>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</si>
  <si>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</si>
  <si>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</si>
  <si>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</si>
  <si>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</si>
  <si>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</si>
  <si>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</si>
  <si>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</si>
  <si>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</si>
  <si>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</si>
  <si>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</si>
  <si>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</si>
  <si>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</si>
  <si>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</si>
  <si>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</si>
  <si>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</si>
  <si>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</si>
  <si>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</si>
  <si>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</si>
  <si>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</si>
  <si>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</si>
  <si>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</si>
  <si>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</si>
  <si>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</si>
  <si>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</si>
  <si>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</si>
  <si>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</si>
  <si>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</si>
  <si>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</si>
  <si>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</si>
  <si>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</si>
  <si>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</si>
  <si>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</si>
  <si>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</si>
  <si>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</si>
  <si>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</si>
  <si>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</si>
  <si>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</si>
  <si>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</si>
  <si>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</si>
  <si>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</si>
  <si>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</si>
  <si>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</si>
  <si>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</si>
  <si>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</si>
  <si>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</si>
  <si>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</si>
  <si>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</si>
  <si>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</si>
  <si>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</si>
  <si>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</si>
  <si>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</si>
  <si>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</si>
  <si>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</si>
  <si>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</si>
  <si>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</si>
  <si>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</si>
  <si>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</si>
  <si>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</si>
  <si>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</si>
  <si>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</si>
  <si>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</si>
  <si>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</si>
  <si>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</si>
  <si>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</si>
  <si>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</si>
  <si>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</si>
  <si>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</si>
  <si>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</si>
  <si>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</si>
  <si>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</si>
  <si>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</si>
  <si>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</si>
  <si>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</si>
  <si>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</si>
  <si>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</si>
  <si>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</si>
  <si>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</si>
  <si>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</si>
  <si>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</si>
  <si>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</si>
  <si>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</si>
  <si>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</si>
  <si>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</si>
  <si>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</si>
  <si>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</si>
  <si>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</si>
  <si>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</si>
  <si>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</si>
  <si>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</si>
  <si>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</si>
  <si>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</si>
  <si>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</si>
  <si>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</si>
  <si>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</si>
  <si>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</si>
  <si>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</si>
  <si>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</si>
  <si>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</si>
  <si>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</si>
  <si>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</si>
  <si>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</si>
  <si>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</si>
  <si>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</si>
  <si>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</si>
  <si>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</si>
  <si>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</si>
  <si>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</si>
  <si>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</si>
  <si>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</si>
  <si>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</si>
  <si>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</si>
  <si>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</si>
  <si>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</si>
  <si>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</si>
  <si>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</si>
  <si>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</si>
  <si>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</si>
  <si>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</si>
  <si>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</si>
  <si>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</si>
  <si>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</si>
  <si>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</si>
  <si>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</si>
  <si>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</si>
  <si>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</si>
  <si>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</si>
  <si>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</si>
  <si>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</si>
  <si>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</si>
  <si>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</si>
  <si>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</si>
  <si>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</si>
  <si>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</si>
  <si>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</si>
  <si>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</si>
  <si>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</si>
  <si>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</si>
  <si>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</si>
  <si>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</si>
  <si>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</si>
  <si>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</si>
  <si>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</si>
  <si>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</si>
  <si>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</si>
  <si>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</si>
  <si>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</si>
  <si>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</si>
  <si>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</si>
  <si>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</si>
  <si>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</si>
  <si>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</si>
  <si>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</si>
  <si>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</si>
  <si>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</si>
  <si>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</si>
  <si>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</si>
  <si>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</si>
  <si>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</si>
  <si>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</si>
  <si>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</si>
  <si>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</si>
  <si>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</si>
  <si>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</si>
  <si>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</si>
  <si>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</si>
  <si>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</si>
  <si>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</si>
  <si>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</si>
  <si>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</si>
  <si>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</si>
  <si>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</si>
  <si>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</si>
  <si>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</si>
  <si>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</si>
  <si>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</si>
  <si>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</si>
  <si>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</si>
  <si>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</si>
  <si>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</si>
  <si>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</si>
  <si>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</si>
  <si>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</si>
  <si>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</si>
  <si>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</si>
  <si>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</si>
  <si>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</si>
  <si>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</si>
  <si>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</si>
  <si>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</si>
  <si>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</si>
  <si>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</si>
  <si>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</si>
  <si>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</si>
  <si>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</si>
  <si>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</si>
  <si>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</si>
  <si>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</si>
  <si>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</si>
  <si>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</si>
  <si>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</si>
  <si>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</si>
  <si>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</si>
  <si>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</si>
  <si>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</si>
  <si>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</si>
  <si>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</si>
  <si>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</si>
  <si>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</si>
  <si>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</si>
  <si>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</si>
  <si>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</si>
  <si>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</si>
  <si>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</si>
  <si>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</si>
  <si>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</si>
  <si>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</si>
  <si>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</si>
  <si>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</si>
  <si>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</si>
  <si>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</si>
  <si>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</si>
  <si>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</si>
  <si>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</si>
  <si>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</si>
  <si>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</si>
  <si>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</si>
  <si>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</si>
  <si>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</si>
  <si>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</si>
  <si>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</si>
  <si>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</si>
  <si>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</si>
  <si>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</si>
  <si>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</si>
  <si>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</si>
  <si>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</si>
  <si>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</si>
  <si>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</si>
  <si>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</si>
  <si>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</si>
  <si>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</si>
  <si>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</si>
  <si>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</si>
  <si>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</si>
  <si>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</si>
  <si>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</si>
  <si>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</si>
  <si>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</si>
  <si>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</si>
  <si>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</si>
  <si>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</si>
  <si>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</si>
  <si>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</si>
  <si>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</si>
  <si>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</si>
  <si>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</si>
  <si>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</si>
  <si>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</si>
  <si>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</si>
  <si>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</si>
  <si>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</si>
  <si>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</si>
  <si>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</si>
  <si>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</si>
  <si>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</si>
  <si>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</si>
  <si>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</si>
  <si>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</si>
  <si>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</si>
  <si>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</si>
  <si>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</si>
  <si>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</si>
  <si>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</si>
  <si>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</si>
  <si>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</si>
  <si>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</si>
  <si>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</si>
  <si>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</si>
  <si>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</si>
  <si>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</si>
  <si>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</si>
  <si>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</si>
  <si>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</si>
  <si>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</si>
  <si>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</si>
  <si>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</si>
  <si>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</si>
  <si>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</si>
  <si>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</si>
  <si>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</si>
  <si>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</si>
  <si>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</si>
  <si>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</si>
  <si>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</si>
  <si>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</si>
  <si>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</si>
  <si>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</si>
  <si>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</si>
  <si>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</si>
  <si>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</si>
  <si>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</si>
  <si>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</si>
  <si>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</si>
  <si>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</si>
  <si>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</si>
  <si>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</si>
  <si>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</si>
  <si>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</si>
  <si>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</si>
  <si>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</si>
  <si>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</si>
  <si>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</si>
  <si>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</si>
  <si>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</si>
  <si>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</si>
  <si>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</si>
  <si>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</si>
  <si>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</si>
  <si>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</si>
  <si>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</si>
  <si>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</si>
  <si>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</si>
  <si>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</si>
  <si>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</si>
  <si>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</si>
  <si>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</si>
  <si>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</si>
  <si>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</si>
  <si>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</si>
  <si>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</si>
  <si>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</si>
  <si>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</si>
  <si>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</si>
  <si>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</si>
  <si>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</si>
  <si>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</si>
  <si>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</si>
  <si>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</si>
  <si>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</si>
  <si>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</si>
  <si>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</si>
  <si>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</si>
  <si>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</si>
  <si>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</si>
  <si>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</si>
  <si>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</si>
  <si>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</si>
  <si>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</si>
  <si>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</si>
  <si>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</si>
  <si>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</si>
  <si>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</si>
  <si>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</si>
  <si>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</si>
  <si>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</si>
  <si>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</si>
  <si>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</si>
  <si>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</si>
  <si>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</si>
  <si>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</si>
  <si>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</si>
  <si>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</si>
  <si>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</si>
  <si>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</si>
  <si>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</si>
  <si>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</si>
  <si>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</si>
  <si>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</si>
  <si>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</si>
  <si>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</si>
  <si>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</si>
  <si>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</si>
  <si>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</si>
  <si>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</si>
  <si>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</si>
  <si>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</si>
  <si>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</si>
  <si>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</si>
  <si>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</si>
  <si>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</si>
  <si>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</si>
  <si>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</si>
  <si>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</si>
  <si>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</si>
  <si>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</si>
  <si>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</si>
  <si>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</si>
  <si>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</si>
  <si>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</si>
  <si>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</si>
  <si>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</si>
  <si>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</si>
  <si>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</si>
  <si>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</si>
  <si>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</si>
  <si>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</si>
  <si>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</si>
  <si>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</si>
  <si>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</si>
  <si>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</si>
  <si>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</si>
  <si>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</si>
  <si>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</si>
  <si>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</si>
  <si>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</si>
  <si>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</si>
  <si>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</si>
  <si>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</si>
  <si>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</si>
  <si>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</si>
  <si>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</si>
  <si>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</si>
  <si>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</si>
  <si>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</si>
  <si>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</si>
  <si>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</si>
  <si>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</si>
  <si>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</si>
  <si>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</si>
  <si>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</si>
  <si>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</si>
  <si>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</si>
  <si>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</si>
  <si>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</si>
  <si>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</si>
  <si>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</si>
  <si>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</si>
  <si>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</si>
  <si>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</si>
  <si>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</si>
  <si>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</si>
  <si>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</si>
  <si>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</si>
  <si>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</si>
  <si>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</si>
  <si>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</si>
  <si>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</si>
  <si>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</si>
  <si>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</si>
  <si>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</si>
  <si>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</si>
  <si>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</si>
  <si>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</si>
  <si>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</si>
  <si>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</si>
  <si>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</si>
  <si>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</si>
  <si>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</si>
  <si>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</si>
  <si>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</si>
  <si>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</si>
  <si>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</si>
  <si>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</si>
  <si>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</si>
  <si>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</si>
  <si>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</si>
  <si>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</si>
  <si>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</si>
  <si>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</si>
  <si>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</si>
  <si>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</si>
  <si>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</si>
  <si>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</si>
  <si>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</si>
  <si>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</si>
  <si>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</si>
  <si>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</si>
  <si>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</si>
  <si>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</si>
  <si>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</si>
  <si>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</si>
  <si>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</si>
  <si>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</si>
  <si>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</si>
  <si>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</si>
  <si>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</si>
  <si>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</si>
  <si>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</si>
  <si>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</si>
  <si>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</si>
  <si>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</si>
  <si>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</si>
  <si>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</si>
  <si>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</si>
  <si>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</si>
  <si>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</si>
  <si>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</si>
  <si>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</si>
  <si>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</si>
  <si>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</si>
  <si>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</si>
  <si>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</si>
  <si>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</si>
  <si>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</si>
  <si>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</si>
  <si>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</si>
  <si>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</si>
  <si>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</si>
  <si>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</si>
  <si>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</si>
  <si>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</si>
  <si>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</si>
  <si>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</si>
  <si>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</si>
  <si>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</si>
  <si>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</si>
  <si>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</si>
  <si>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</si>
  <si>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</si>
  <si>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</si>
  <si>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</si>
  <si>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</si>
  <si>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</si>
  <si>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</si>
  <si>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</si>
  <si>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</si>
  <si>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</si>
  <si>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</si>
  <si>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</si>
  <si>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</si>
  <si>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</si>
  <si>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</si>
  <si>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</si>
  <si>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</si>
  <si>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</si>
  <si>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</si>
  <si>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</si>
  <si>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</si>
  <si>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</si>
  <si>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</si>
  <si>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</si>
  <si>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</si>
  <si>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</si>
  <si>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</si>
  <si>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</si>
  <si>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</si>
  <si>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</si>
  <si>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</si>
  <si>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</si>
  <si>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</si>
  <si>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</si>
  <si>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</si>
  <si>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</si>
  <si>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</si>
  <si>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</si>
  <si>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</si>
  <si>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</si>
  <si>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</si>
  <si>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</si>
  <si>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</si>
  <si>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</si>
  <si>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</si>
  <si>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</si>
  <si>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</si>
  <si>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</si>
  <si>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</si>
  <si>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</si>
  <si>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</si>
  <si>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</si>
  <si>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</si>
  <si>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</si>
  <si>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</si>
  <si>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</si>
  <si>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</si>
  <si>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</si>
  <si>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</si>
  <si>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</si>
  <si>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</si>
  <si>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</si>
  <si>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</si>
  <si>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</si>
  <si>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</si>
  <si>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</si>
  <si>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</si>
  <si>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</si>
  <si>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</si>
  <si>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</si>
  <si>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</si>
  <si>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</si>
  <si>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</si>
  <si>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</si>
  <si>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</si>
  <si>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</si>
  <si>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</si>
  <si>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</si>
  <si>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</si>
  <si>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</si>
  <si>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</si>
  <si>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</si>
  <si>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</si>
  <si>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</si>
  <si>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</si>
  <si>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</si>
  <si>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</si>
  <si>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</si>
  <si>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</si>
  <si>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</si>
  <si>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</si>
  <si>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</si>
  <si>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</si>
  <si>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</si>
  <si>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</si>
  <si>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</si>
  <si>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</si>
  <si>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</si>
  <si>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</si>
  <si>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</si>
  <si>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</si>
  <si>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</si>
  <si>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</si>
  <si>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</si>
  <si>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</si>
  <si>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</si>
  <si>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</si>
  <si>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</si>
  <si>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</si>
  <si>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</si>
  <si>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</si>
  <si>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</si>
  <si>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</si>
  <si>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</si>
  <si>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</si>
  <si>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</si>
  <si>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</si>
  <si>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</si>
  <si>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</si>
  <si>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</si>
  <si>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</si>
  <si>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</si>
  <si>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</si>
  <si>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</si>
  <si>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</si>
  <si>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</si>
  <si>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</si>
  <si>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</si>
  <si>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</si>
  <si>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</si>
  <si>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</si>
  <si>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</si>
  <si>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</si>
  <si>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</si>
  <si>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</si>
  <si>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</si>
  <si>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</si>
  <si>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</si>
  <si>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</si>
  <si>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</si>
  <si>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</si>
  <si>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</si>
  <si>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</si>
  <si>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</si>
  <si>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</si>
  <si>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</si>
  <si>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</si>
  <si>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</si>
  <si>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</si>
  <si>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</si>
  <si>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</si>
  <si>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</si>
  <si>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</si>
  <si>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</si>
  <si>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</si>
  <si>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</si>
  <si>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</si>
  <si>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</si>
  <si>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</si>
  <si>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</si>
  <si>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</si>
  <si>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</si>
  <si>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</si>
  <si>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</si>
  <si>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</si>
  <si>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</si>
  <si>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</si>
  <si>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</si>
  <si>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</si>
  <si>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</si>
  <si>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</si>
  <si>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</si>
  <si>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</si>
  <si>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</si>
  <si>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</si>
  <si>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</si>
  <si>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</si>
  <si>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</si>
  <si>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</si>
  <si>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</si>
  <si>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</si>
  <si>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</si>
  <si>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</si>
  <si>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</si>
  <si>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</si>
  <si>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</si>
  <si>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</si>
  <si>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</si>
  <si>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</si>
  <si>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</si>
  <si>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</si>
  <si>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</si>
  <si>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</si>
  <si>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</si>
  <si>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</si>
  <si>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</si>
  <si>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</si>
  <si>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</si>
  <si>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</si>
  <si>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</si>
  <si>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</si>
  <si>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</si>
  <si>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</si>
  <si>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</si>
  <si>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</si>
  <si>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</si>
  <si>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</si>
  <si>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</si>
  <si>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</si>
  <si>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</si>
  <si>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</si>
  <si>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</si>
  <si>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</si>
  <si>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</si>
  <si>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</si>
  <si>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</si>
  <si>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</si>
  <si>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</si>
  <si>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</si>
  <si>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</si>
  <si>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</si>
  <si>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</si>
  <si>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</si>
  <si>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</si>
  <si>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</si>
  <si>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</si>
  <si>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</si>
  <si>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</si>
  <si>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</si>
  <si>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</si>
  <si>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</si>
  <si>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</si>
  <si>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</si>
  <si>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</si>
  <si>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</si>
  <si>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</si>
  <si>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</si>
  <si>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</si>
  <si>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</si>
  <si>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</si>
  <si>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</si>
  <si>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</si>
  <si>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</si>
  <si>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</si>
  <si>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</si>
  <si>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</si>
  <si>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</si>
  <si>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</si>
  <si>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</si>
  <si>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</si>
  <si>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</si>
  <si>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</si>
  <si>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</si>
  <si>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</si>
  <si>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</si>
  <si>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</si>
  <si>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</si>
  <si>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</si>
  <si>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</si>
  <si>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</si>
  <si>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</si>
  <si>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</si>
  <si>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</si>
  <si>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</si>
  <si>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</si>
  <si>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</si>
  <si>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</si>
  <si>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</si>
  <si>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</si>
  <si>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</si>
  <si>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</si>
  <si>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</si>
  <si>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</si>
  <si>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</si>
  <si>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</si>
  <si>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</si>
  <si>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</si>
  <si>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</si>
  <si>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</si>
  <si>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</si>
  <si>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</si>
  <si>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</si>
  <si>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</si>
  <si>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</si>
  <si>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</si>
  <si>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</si>
  <si>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</si>
  <si>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</si>
  <si>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</si>
  <si>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</si>
  <si>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</si>
  <si>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</si>
  <si>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</si>
  <si>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</si>
  <si>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</si>
  <si>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</si>
  <si>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</si>
  <si>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</si>
  <si>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</si>
  <si>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</si>
  <si>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</si>
  <si>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</si>
  <si>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</si>
  <si>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</si>
  <si>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</si>
  <si>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</si>
  <si>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</si>
  <si>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</si>
  <si>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</si>
  <si>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</si>
  <si>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</si>
  <si>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</si>
  <si>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</si>
  <si>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</si>
  <si>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</si>
  <si>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</si>
  <si>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</si>
  <si>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</si>
  <si>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</si>
  <si>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</si>
  <si>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</si>
  <si>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</si>
  <si>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</si>
  <si>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</si>
  <si>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</si>
  <si>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</si>
  <si>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</si>
  <si>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</si>
  <si>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</si>
  <si>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</si>
  <si>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</si>
  <si>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</si>
  <si>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</si>
  <si>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</si>
  <si>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</si>
  <si>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</si>
  <si>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</si>
  <si>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</si>
  <si>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</si>
  <si>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</si>
  <si>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</si>
  <si>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</si>
  <si>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</si>
  <si>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</si>
  <si>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</si>
  <si>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</si>
  <si>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</si>
  <si>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</si>
  <si>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</si>
  <si>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</si>
  <si>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</si>
  <si>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</si>
  <si>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</si>
  <si>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</si>
  <si>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</si>
  <si>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</si>
  <si>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</si>
  <si>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</si>
  <si>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</si>
  <si>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</si>
  <si>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</si>
  <si>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</si>
  <si>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</si>
  <si>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</si>
  <si>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</si>
  <si>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</si>
  <si>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</si>
  <si>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</si>
  <si>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</si>
  <si>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</si>
  <si>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</si>
  <si>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</si>
  <si>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</si>
  <si>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</si>
  <si>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</si>
  <si>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</si>
  <si>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</si>
  <si>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</si>
  <si>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</si>
  <si>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</si>
  <si>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</si>
  <si>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</si>
  <si>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</si>
  <si>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</si>
  <si>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</si>
  <si>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</si>
  <si>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</si>
  <si>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</si>
  <si>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</si>
  <si>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</si>
  <si>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</si>
  <si>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</si>
  <si>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</si>
  <si>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</si>
  <si>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</si>
  <si>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</si>
  <si>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</si>
  <si>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</si>
  <si>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</si>
  <si>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</si>
  <si>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</si>
  <si>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</si>
  <si>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</si>
  <si>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</si>
  <si>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</si>
  <si>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</si>
  <si>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</si>
  <si>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</si>
  <si>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</si>
  <si>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</si>
  <si>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</si>
  <si>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</si>
  <si>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</si>
  <si>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</si>
  <si>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</si>
  <si>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</si>
  <si>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</si>
  <si>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</si>
  <si>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</si>
  <si>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</si>
  <si>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</si>
  <si>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</si>
  <si>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</si>
  <si>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</si>
  <si>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</si>
  <si>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</si>
  <si>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</si>
  <si>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</si>
  <si>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</si>
  <si>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</si>
  <si>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</si>
  <si>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</si>
  <si>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</si>
  <si>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</si>
  <si>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</si>
  <si>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</si>
  <si>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</si>
  <si>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</si>
  <si>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</si>
  <si>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</si>
  <si>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</si>
  <si>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</si>
  <si>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</si>
  <si>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</si>
  <si>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</si>
  <si>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</si>
  <si>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</si>
  <si>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</si>
  <si>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</si>
  <si>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</si>
  <si>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</si>
  <si>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</si>
  <si>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</si>
  <si>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</si>
  <si>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</si>
  <si>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</si>
  <si>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</si>
  <si>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</si>
  <si>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</si>
  <si>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</si>
  <si>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</si>
  <si>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</si>
  <si>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</si>
  <si>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</si>
  <si>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</si>
  <si>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</si>
  <si>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</si>
  <si>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</si>
  <si>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</si>
  <si>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</si>
  <si>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</si>
  <si>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</si>
  <si>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</si>
  <si>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</si>
  <si>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</si>
  <si>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</si>
  <si>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</si>
  <si>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</si>
  <si>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</si>
  <si>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</si>
  <si>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</si>
  <si>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</si>
  <si>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</si>
  <si>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</si>
  <si>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</si>
  <si>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</si>
  <si>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</si>
  <si>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</si>
  <si>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</si>
  <si>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</si>
  <si>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</si>
  <si>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</si>
  <si>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</si>
  <si>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</si>
  <si>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</si>
  <si>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</si>
  <si>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</si>
  <si>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</si>
  <si>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</si>
  <si>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</si>
  <si>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</si>
  <si>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</si>
  <si>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</si>
  <si>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</si>
  <si>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</si>
  <si>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</si>
  <si>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</si>
  <si>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</si>
  <si>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</si>
  <si>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</si>
  <si>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</si>
  <si>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</si>
  <si>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</si>
  <si>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</si>
  <si>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</si>
  <si>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</si>
  <si>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</si>
  <si>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</si>
  <si>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</si>
  <si>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</si>
  <si>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</si>
  <si>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</si>
  <si>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</si>
  <si>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</si>
  <si>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</si>
  <si>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</si>
  <si>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</si>
  <si>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</si>
  <si>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</si>
  <si>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</si>
  <si>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</si>
  <si>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</si>
  <si>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</si>
  <si>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</si>
  <si>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</si>
  <si>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</si>
  <si>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</si>
  <si>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</si>
  <si>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</si>
  <si>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</si>
  <si>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</si>
  <si>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</si>
  <si>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</si>
  <si>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</si>
  <si>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</si>
  <si>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</si>
  <si>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</si>
  <si>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</si>
  <si>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</si>
  <si>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</si>
  <si>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</si>
  <si>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</si>
  <si>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</si>
  <si>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</si>
  <si>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</si>
  <si>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</si>
  <si>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</si>
  <si>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</si>
  <si>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</si>
  <si>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</si>
  <si>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</si>
  <si>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</si>
  <si>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</si>
  <si>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</si>
  <si>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</si>
  <si>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</si>
  <si>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</si>
  <si>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</si>
  <si>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</si>
  <si>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</si>
  <si>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</si>
  <si>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</si>
  <si>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</si>
  <si>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</si>
  <si>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</si>
  <si>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</si>
  <si>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</si>
  <si>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</si>
  <si>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</si>
  <si>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</si>
  <si>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</si>
  <si>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</si>
  <si>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</si>
  <si>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</si>
  <si>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</si>
  <si>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</si>
  <si>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</si>
  <si>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</si>
  <si>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</si>
  <si>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</si>
  <si>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</si>
  <si>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</si>
  <si>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</si>
  <si>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</si>
  <si>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</si>
  <si>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</si>
  <si>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</si>
  <si>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</si>
  <si>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</si>
  <si>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</si>
  <si>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</si>
  <si>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</si>
  <si>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</si>
  <si>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</si>
  <si>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</si>
  <si>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</si>
  <si>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</si>
  <si>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</si>
  <si>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</si>
  <si>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</si>
  <si>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</si>
  <si>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</si>
  <si>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</si>
  <si>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</si>
  <si>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</si>
  <si>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</si>
  <si>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</si>
  <si>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</si>
  <si>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</si>
  <si>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</si>
  <si>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</si>
  <si>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</si>
  <si>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</si>
  <si>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</si>
  <si>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</si>
  <si>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</si>
  <si>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</si>
  <si>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</si>
  <si>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</si>
  <si>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</si>
  <si>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</si>
  <si>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</si>
  <si>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</si>
  <si>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</si>
  <si>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</si>
  <si>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</si>
  <si>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</si>
  <si>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</si>
  <si>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</si>
  <si>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</si>
  <si>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</si>
  <si>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</si>
  <si>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</si>
  <si>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</si>
  <si>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</si>
  <si>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</si>
  <si>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</si>
  <si>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</si>
  <si>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</si>
  <si>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</si>
  <si>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</si>
  <si>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</si>
  <si>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</si>
  <si>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</si>
  <si>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</si>
  <si>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</si>
  <si>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</si>
  <si>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</si>
  <si>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</si>
  <si>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</si>
  <si>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</si>
  <si>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</si>
  <si>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</si>
  <si>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</si>
  <si>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</si>
  <si>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</si>
  <si>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</si>
  <si>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</si>
  <si>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</si>
  <si>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</si>
  <si>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</si>
  <si>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</si>
  <si>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</si>
  <si>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</si>
  <si>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</si>
  <si>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</si>
  <si>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</si>
  <si>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</si>
  <si>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</si>
  <si>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</si>
  <si>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</si>
  <si>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</si>
  <si>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</si>
  <si>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</si>
  <si>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</si>
  <si>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</si>
  <si>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</si>
  <si>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</si>
  <si>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</si>
  <si>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</si>
  <si>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</si>
  <si>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</si>
  <si>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</si>
  <si>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</si>
  <si>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</si>
  <si>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</si>
  <si>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</si>
  <si>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</si>
  <si>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</si>
  <si>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</si>
  <si>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</si>
  <si>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</si>
  <si>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</si>
  <si>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</si>
  <si>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</si>
  <si>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</si>
  <si>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</si>
  <si>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</si>
  <si>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</si>
  <si>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</si>
  <si>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</si>
  <si>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</si>
  <si>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</si>
  <si>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</si>
  <si>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</si>
  <si>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</si>
  <si>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</si>
  <si>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</si>
  <si>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</si>
  <si>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</si>
  <si>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</si>
  <si>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</si>
  <si>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</si>
  <si>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</si>
  <si>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</si>
  <si>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</si>
  <si>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</si>
  <si>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</si>
  <si>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</si>
  <si>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</si>
  <si>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</si>
  <si>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</si>
  <si>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</si>
  <si>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</si>
  <si>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</si>
  <si>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</si>
  <si>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</si>
  <si>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</si>
  <si>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</si>
  <si>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</si>
  <si>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</si>
  <si>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</si>
  <si>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</si>
  <si>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</si>
  <si>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</si>
  <si>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</si>
  <si>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</si>
  <si>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</si>
  <si>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</si>
  <si>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</si>
  <si>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</si>
  <si>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</si>
  <si>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</si>
  <si>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</si>
  <si>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</si>
  <si>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</si>
  <si>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</si>
  <si>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</si>
  <si>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</si>
  <si>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</si>
  <si>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</si>
  <si>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</si>
  <si>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</si>
  <si>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</si>
  <si>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</si>
  <si>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</si>
  <si>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</si>
  <si>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</si>
  <si>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</si>
  <si>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</si>
  <si>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</si>
  <si>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</si>
  <si>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</si>
  <si>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</si>
  <si>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</si>
  <si>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</si>
  <si>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</si>
  <si>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</si>
  <si>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</si>
  <si>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</si>
  <si>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</si>
  <si>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</si>
  <si>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</si>
  <si>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</si>
  <si>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</si>
  <si>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</si>
  <si>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</si>
  <si>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</si>
  <si>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</si>
  <si>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</si>
  <si>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</si>
  <si>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</si>
  <si>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</si>
  <si>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</si>
  <si>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</si>
  <si>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</si>
  <si>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</si>
  <si>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</si>
  <si>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</si>
  <si>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</si>
  <si>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</si>
  <si>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</si>
  <si>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</si>
  <si>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</si>
  <si>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</si>
  <si>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</si>
  <si>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</si>
  <si>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</si>
  <si>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</si>
  <si>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</si>
  <si>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</si>
  <si>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</si>
  <si>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</si>
  <si>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</si>
  <si>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</si>
  <si>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</si>
  <si>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</si>
  <si>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</si>
  <si>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</si>
  <si>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</si>
  <si>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</si>
  <si>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</si>
  <si>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</si>
  <si>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</si>
  <si>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</si>
  <si>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</si>
  <si>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</si>
  <si>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</si>
  <si>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</si>
  <si>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</si>
  <si>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</si>
  <si>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</si>
  <si>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</si>
  <si>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</si>
  <si>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</si>
  <si>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</si>
  <si>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</si>
  <si>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</si>
  <si>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</si>
  <si>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</si>
  <si>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</si>
  <si>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</si>
  <si>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</si>
  <si>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</si>
  <si>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</si>
  <si>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</si>
  <si>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</si>
  <si>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</si>
  <si>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</si>
  <si>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</si>
  <si>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</si>
  <si>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</si>
  <si>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</si>
  <si>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</si>
  <si>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</si>
  <si>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</si>
  <si>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</si>
  <si>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</si>
  <si>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</si>
  <si>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</si>
  <si>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</si>
  <si>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</si>
  <si>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</si>
  <si>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</si>
  <si>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</si>
  <si>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</si>
  <si>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</si>
  <si>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</si>
  <si>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</si>
  <si>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</si>
  <si>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</si>
  <si>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</si>
  <si>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</si>
  <si>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</si>
  <si>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</si>
  <si>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</si>
  <si>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</si>
  <si>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</si>
  <si>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</si>
  <si>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</si>
  <si>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</si>
  <si>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</si>
  <si>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</si>
  <si>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</si>
  <si>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</si>
  <si>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</si>
  <si>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</si>
  <si>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</si>
  <si>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</si>
  <si>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</si>
  <si>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</si>
  <si>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</si>
  <si>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</si>
  <si>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</si>
  <si>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</si>
  <si>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</si>
  <si>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</si>
  <si>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</si>
  <si>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</si>
  <si>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</si>
  <si>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</si>
  <si>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</si>
  <si>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</si>
  <si>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</si>
  <si>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</si>
  <si>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</si>
  <si>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</si>
  <si>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</si>
  <si>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</si>
  <si>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</si>
  <si>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</si>
  <si>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</si>
  <si>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</si>
  <si>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</si>
  <si>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</si>
  <si>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</si>
  <si>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</si>
  <si>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</si>
  <si>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</si>
  <si>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</si>
  <si>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</si>
  <si>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</si>
  <si>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</si>
  <si>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</si>
  <si>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</si>
  <si>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</si>
  <si>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</si>
  <si>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</si>
  <si>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</si>
  <si>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</si>
  <si>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</si>
  <si>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</si>
  <si>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</si>
  <si>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</si>
  <si>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</si>
  <si>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</si>
  <si>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</si>
  <si>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</si>
  <si>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</si>
  <si>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</si>
  <si>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</si>
  <si>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</si>
  <si>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</si>
  <si>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</si>
  <si>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</si>
  <si>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</si>
  <si>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</si>
  <si>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</si>
  <si>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</si>
  <si>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</si>
  <si>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</si>
  <si>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</si>
  <si>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</si>
  <si>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</si>
  <si>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</si>
  <si>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</si>
  <si>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</si>
  <si>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</si>
  <si>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</si>
  <si>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</si>
  <si>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</si>
  <si>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</si>
  <si>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</si>
  <si>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</si>
  <si>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</si>
  <si>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</si>
  <si>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</si>
  <si>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</si>
  <si>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</si>
  <si>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</si>
  <si>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</si>
  <si>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</si>
  <si>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</si>
  <si>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</si>
  <si>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</si>
  <si>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</si>
  <si>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</si>
  <si>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</si>
  <si>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</si>
  <si>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</si>
  <si>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</si>
  <si>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</si>
  <si>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</si>
  <si>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</si>
  <si>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</si>
  <si>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</si>
  <si>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</si>
  <si>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</si>
  <si>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</si>
  <si>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</si>
  <si>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</si>
  <si>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</si>
  <si>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</si>
  <si>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</si>
  <si>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</si>
  <si>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</si>
  <si>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</si>
  <si>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</si>
  <si>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</si>
  <si>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</si>
  <si>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</si>
  <si>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</si>
  <si>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</si>
  <si>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</si>
  <si>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</si>
  <si>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</si>
  <si>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</si>
  <si>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</si>
  <si>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</si>
  <si>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</si>
  <si>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</si>
  <si>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</si>
  <si>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</si>
  <si>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</si>
  <si>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</si>
  <si>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</si>
  <si>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</si>
  <si>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</si>
  <si>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</si>
  <si>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</si>
  <si>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</si>
  <si>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</si>
  <si>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</si>
  <si>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</si>
  <si>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</si>
  <si>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</si>
  <si>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</si>
  <si>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</si>
  <si>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</si>
  <si>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</si>
  <si>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</si>
  <si>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</si>
  <si>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</si>
  <si>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</si>
  <si>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</si>
  <si>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</si>
  <si>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</si>
  <si>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</si>
  <si>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</si>
  <si>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</si>
  <si>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</si>
  <si>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</si>
  <si>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</si>
  <si>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</si>
  <si>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</si>
  <si>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</si>
  <si>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</si>
  <si>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</si>
  <si>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</si>
  <si>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</si>
  <si>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</si>
  <si>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</si>
  <si>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</si>
  <si>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</si>
  <si>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</si>
  <si>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</si>
  <si>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</si>
  <si>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</si>
  <si>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</si>
  <si>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</si>
  <si>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</si>
  <si>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</si>
  <si>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</si>
  <si>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</si>
  <si>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</si>
  <si>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</si>
  <si>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</si>
  <si>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</si>
  <si>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</si>
  <si>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</si>
  <si>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</si>
  <si>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</si>
  <si>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</si>
  <si>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</si>
  <si>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</si>
  <si>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</si>
  <si>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</si>
  <si>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</si>
  <si>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</si>
  <si>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</si>
  <si>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</si>
  <si>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</si>
  <si>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</si>
  <si>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</si>
  <si>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</si>
  <si>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</si>
  <si>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</si>
  <si>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</si>
  <si>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</si>
  <si>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</si>
  <si>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</si>
  <si>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</si>
  <si>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</si>
  <si>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</si>
  <si>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</si>
  <si>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</si>
  <si>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</si>
  <si>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</si>
  <si>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</si>
  <si>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</si>
  <si>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</si>
  <si>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</si>
  <si>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</si>
  <si>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</si>
  <si>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</si>
  <si>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</si>
  <si>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</si>
  <si>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</si>
  <si>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</si>
  <si>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</si>
  <si>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</si>
  <si>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</si>
  <si>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</si>
  <si>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</si>
  <si>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</si>
  <si>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</si>
  <si>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</si>
  <si>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</si>
  <si>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</si>
  <si>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</si>
  <si>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</si>
  <si>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</si>
  <si>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</si>
  <si>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</si>
  <si>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</si>
  <si>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</si>
  <si>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</si>
  <si>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</si>
  <si>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</si>
  <si>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</si>
  <si>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</si>
  <si>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</si>
  <si>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</si>
  <si>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</si>
  <si>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</si>
  <si>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</si>
  <si>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</si>
  <si>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</si>
  <si>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</si>
  <si>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</si>
  <si>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</si>
  <si>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</si>
  <si>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</si>
  <si>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</si>
  <si>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</si>
  <si>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</si>
  <si>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</si>
  <si>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</si>
  <si>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</si>
  <si>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</si>
  <si>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</si>
  <si>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</si>
  <si>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</si>
  <si>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</si>
  <si>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</si>
  <si>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</si>
  <si>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</si>
  <si>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</si>
  <si>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</si>
  <si>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</si>
  <si>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</si>
  <si>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</si>
  <si>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</si>
  <si>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</si>
  <si>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</si>
  <si>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</si>
  <si>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</si>
  <si>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</si>
  <si>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</si>
  <si>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</si>
  <si>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</si>
  <si>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</si>
  <si>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</si>
  <si>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</si>
  <si>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</si>
  <si>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</si>
  <si>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</si>
  <si>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</si>
  <si>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</si>
  <si>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</si>
  <si>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</si>
  <si>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</si>
  <si>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</si>
  <si>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</si>
  <si>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</si>
  <si>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</si>
  <si>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</si>
  <si>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</si>
  <si>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</si>
  <si>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</si>
  <si>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</si>
  <si>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</si>
  <si>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</si>
  <si>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</si>
  <si>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</si>
  <si>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</si>
  <si>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</si>
  <si>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</si>
  <si>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</si>
  <si>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</si>
  <si>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</si>
  <si>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</si>
  <si>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</si>
  <si>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</si>
  <si>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</si>
  <si>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</si>
  <si>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</si>
  <si>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</si>
  <si>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</si>
  <si>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</si>
  <si>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</si>
  <si>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</si>
  <si>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</si>
  <si>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</si>
  <si>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</si>
  <si>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</si>
  <si>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</si>
  <si>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</si>
  <si>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</si>
  <si>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</si>
  <si>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</si>
  <si>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</si>
  <si>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</si>
  <si>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</si>
  <si>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</si>
  <si>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</si>
  <si>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</si>
  <si>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</si>
  <si>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</si>
  <si>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</si>
  <si>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</si>
  <si>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</si>
  <si>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</si>
  <si>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</si>
  <si>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</si>
  <si>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</si>
  <si>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</si>
  <si>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</si>
  <si>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</si>
  <si>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</si>
  <si>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</si>
  <si>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</si>
  <si>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</si>
  <si>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</si>
  <si>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</si>
  <si>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</si>
  <si>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</si>
  <si>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</si>
  <si>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</si>
  <si>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</si>
  <si>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</si>
  <si>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</si>
  <si>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</si>
  <si>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</si>
  <si>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</si>
  <si>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</si>
  <si>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</si>
  <si>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</si>
  <si>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</si>
  <si>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</si>
  <si>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</si>
  <si>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</si>
  <si>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</si>
  <si>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</si>
  <si>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</si>
  <si>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</si>
  <si>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</si>
  <si>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</si>
  <si>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</si>
  <si>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</si>
  <si>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</si>
  <si>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</si>
  <si>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</si>
  <si>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</si>
  <si>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</si>
  <si>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</si>
  <si>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</si>
  <si>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</si>
  <si>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</si>
  <si>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</si>
  <si>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</si>
  <si>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</si>
  <si>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</si>
  <si>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</si>
  <si>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</si>
  <si>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</si>
  <si>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</si>
  <si>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</si>
  <si>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</si>
  <si>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</si>
  <si>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</si>
  <si>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</si>
  <si>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</si>
  <si>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</si>
  <si>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</si>
  <si>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</si>
  <si>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</si>
  <si>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</si>
  <si>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</si>
  <si>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</si>
  <si>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</si>
  <si>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</si>
  <si>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</si>
  <si>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</si>
  <si>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</si>
  <si>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</si>
  <si>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</si>
  <si>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</si>
  <si>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</si>
  <si>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</si>
  <si>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</si>
  <si>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</si>
  <si>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</si>
  <si>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</si>
  <si>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</si>
  <si>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</si>
  <si>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</si>
  <si>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</si>
  <si>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</si>
  <si>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</si>
  <si>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</si>
  <si>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</si>
  <si>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</si>
  <si>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</si>
  <si>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</si>
  <si>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</si>
  <si>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</si>
  <si>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</si>
  <si>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</si>
  <si>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</si>
  <si>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</si>
  <si>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</si>
  <si>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</si>
  <si>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</si>
  <si>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</si>
  <si>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</si>
  <si>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</si>
  <si>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</si>
  <si>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</si>
  <si>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</si>
  <si>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</si>
  <si>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</si>
  <si>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</si>
  <si>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</si>
  <si>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</si>
  <si>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</si>
  <si>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</si>
  <si>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</si>
  <si>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</si>
  <si>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</si>
  <si>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</si>
  <si>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</si>
  <si>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</si>
  <si>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</si>
  <si>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</si>
  <si>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</si>
  <si>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</si>
  <si>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</si>
  <si>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</si>
  <si>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</si>
  <si>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</si>
  <si>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</si>
  <si>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</si>
  <si>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</si>
  <si>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</si>
  <si>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</si>
  <si>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</si>
  <si>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</si>
  <si>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</si>
  <si>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</si>
  <si>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</si>
  <si>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</si>
  <si>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</si>
  <si>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</si>
  <si>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</si>
  <si>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</si>
  <si>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</si>
  <si>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</si>
  <si>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</si>
  <si>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</si>
  <si>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</si>
  <si>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</si>
  <si>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</si>
  <si>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</si>
  <si>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</si>
  <si>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</si>
  <si>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</si>
  <si>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</si>
  <si>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</si>
  <si>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</si>
  <si>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</si>
  <si>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</si>
  <si>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</si>
  <si>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</si>
  <si>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</si>
  <si>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</si>
  <si>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</si>
  <si>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</si>
  <si>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</si>
  <si>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</si>
  <si>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</si>
  <si>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</si>
  <si>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</si>
  <si>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</si>
  <si>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</si>
  <si>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</si>
  <si>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</si>
  <si>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</si>
  <si>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</si>
  <si>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</si>
  <si>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</si>
  <si>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</si>
  <si>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</si>
  <si>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</si>
  <si>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</si>
  <si>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</si>
  <si>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</si>
  <si>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</si>
  <si>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</si>
  <si>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</si>
  <si>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</si>
  <si>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</si>
  <si>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</si>
  <si>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</si>
  <si>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</si>
  <si>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</si>
  <si>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</si>
  <si>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</si>
  <si>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</si>
  <si>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</si>
  <si>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</si>
  <si>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</si>
  <si>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</si>
  <si>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</si>
  <si>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</si>
  <si>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</si>
  <si>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</si>
  <si>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</si>
  <si>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</si>
  <si>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</si>
  <si>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</si>
  <si>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</si>
  <si>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</si>
  <si>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</si>
  <si>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</si>
  <si>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</si>
  <si>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</si>
  <si>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</si>
  <si>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</si>
  <si>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</si>
  <si>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</si>
  <si>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</si>
  <si>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</si>
  <si>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</si>
  <si>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</si>
  <si>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</si>
  <si>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</si>
  <si>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</si>
  <si>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</si>
  <si>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</si>
  <si>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</si>
  <si>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</si>
  <si>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</si>
  <si>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</si>
  <si>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</si>
  <si>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</si>
  <si>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</si>
  <si>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</si>
  <si>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</si>
  <si>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</si>
  <si>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</si>
  <si>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</si>
  <si>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</si>
  <si>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</si>
  <si>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</si>
  <si>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</si>
  <si>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</si>
  <si>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</si>
  <si>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</si>
  <si>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</si>
  <si>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</si>
  <si>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</si>
  <si>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</si>
  <si>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</si>
  <si>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</si>
  <si>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</si>
  <si>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</si>
  <si>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</si>
  <si>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</si>
  <si>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</si>
  <si>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</si>
  <si>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</si>
  <si>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</si>
  <si>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</si>
  <si>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</si>
  <si>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</si>
  <si>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</si>
  <si>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</si>
  <si>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</si>
  <si>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</si>
  <si>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</si>
  <si>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</si>
  <si>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</si>
  <si>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</si>
  <si>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</si>
  <si>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</si>
  <si>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</si>
  <si>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</si>
  <si>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</si>
  <si>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</si>
  <si>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</si>
  <si>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</si>
  <si>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</si>
  <si>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</si>
  <si>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</si>
  <si>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</si>
  <si>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</si>
  <si>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</si>
  <si>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</si>
  <si>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</si>
  <si>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</si>
  <si>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</si>
  <si>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</si>
  <si>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</si>
  <si>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</si>
  <si>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</si>
  <si>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</si>
  <si>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</si>
  <si>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</si>
  <si>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</si>
  <si>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</si>
  <si>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</si>
  <si>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</si>
  <si>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</si>
  <si>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</si>
  <si>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</si>
  <si>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</si>
  <si>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</si>
  <si>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</si>
  <si>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</si>
  <si>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</si>
  <si>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</si>
  <si>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</si>
  <si>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</si>
  <si>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</si>
  <si>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</si>
  <si>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</si>
  <si>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</si>
  <si>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</si>
  <si>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</si>
  <si>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</si>
  <si>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</si>
  <si>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</si>
  <si>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</si>
  <si>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</si>
  <si>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</si>
  <si>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</si>
  <si>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</si>
  <si>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</si>
  <si>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</si>
  <si>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</si>
  <si>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</si>
  <si>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</si>
  <si>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</si>
  <si>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</si>
  <si>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</si>
  <si>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</si>
  <si>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</si>
  <si>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</si>
  <si>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</si>
  <si>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</si>
  <si>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</si>
  <si>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</si>
  <si>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</si>
  <si>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</si>
  <si>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</si>
  <si>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</si>
  <si>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</si>
  <si>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</si>
  <si>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</si>
  <si>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</si>
  <si>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</si>
  <si>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</si>
  <si>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</si>
  <si>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</si>
  <si>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</si>
  <si>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</si>
  <si>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</si>
  <si>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</si>
  <si>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</si>
  <si>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</si>
  <si>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</si>
  <si>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</si>
  <si>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</si>
  <si>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</si>
  <si>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</si>
  <si>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</si>
  <si>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</si>
  <si>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</si>
  <si>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</si>
  <si>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</si>
  <si>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</si>
  <si>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</si>
  <si>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</si>
  <si>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</si>
  <si>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</si>
  <si>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</si>
  <si>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</si>
  <si>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</si>
  <si>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</si>
  <si>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</si>
  <si>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</si>
  <si>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</si>
  <si>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</si>
  <si>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</si>
  <si>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</si>
  <si>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</si>
  <si>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</si>
  <si>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</si>
  <si>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</si>
  <si>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</si>
  <si>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</si>
  <si>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</si>
  <si>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</si>
  <si>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</si>
  <si>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</si>
  <si>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</si>
  <si>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</si>
  <si>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</si>
  <si>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</si>
  <si>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</si>
  <si>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</si>
  <si>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</si>
  <si>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</si>
  <si>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</si>
  <si>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</si>
  <si>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</si>
  <si>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</si>
  <si>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</si>
  <si>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</si>
  <si>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</si>
  <si>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</si>
  <si>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</si>
  <si>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</si>
  <si>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</si>
  <si>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</si>
  <si>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</si>
  <si>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</si>
  <si>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</si>
  <si>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</si>
  <si>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</si>
  <si>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</si>
  <si>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</si>
  <si>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</si>
  <si>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</si>
  <si>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</si>
  <si>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</si>
  <si>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</si>
  <si>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</si>
  <si>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</si>
  <si>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</si>
  <si>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</si>
  <si>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</si>
  <si>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</si>
  <si>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</si>
  <si>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</si>
  <si>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</si>
  <si>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</si>
  <si>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</si>
  <si>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</si>
  <si>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</si>
  <si>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</si>
  <si>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</si>
  <si>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</si>
  <si>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</si>
  <si>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</si>
  <si>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</si>
  <si>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</si>
  <si>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</si>
  <si>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</si>
  <si>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</si>
  <si>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</si>
  <si>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</si>
  <si>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</si>
  <si>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</si>
  <si>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</si>
  <si>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</si>
  <si>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</si>
  <si>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</si>
  <si>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</si>
  <si>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</si>
  <si>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</si>
  <si>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</si>
  <si>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</si>
  <si>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</si>
  <si>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</si>
  <si>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</si>
  <si>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</si>
  <si>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</si>
  <si>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</si>
  <si>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</si>
  <si>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</si>
  <si>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</si>
  <si>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</si>
  <si>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</si>
  <si>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</si>
  <si>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</si>
  <si>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</si>
  <si>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</si>
  <si>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</si>
  <si>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</si>
  <si>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</si>
  <si>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</si>
  <si>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</si>
  <si>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</si>
  <si>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</si>
  <si>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</si>
  <si>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</si>
  <si>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</si>
  <si>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</si>
  <si>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</si>
  <si>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</si>
  <si>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</si>
  <si>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</si>
  <si>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</si>
  <si>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</si>
  <si>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</si>
  <si>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</si>
  <si>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</si>
  <si>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</si>
  <si>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</si>
  <si>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</si>
  <si>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</si>
  <si>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</si>
  <si>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</si>
  <si>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</si>
  <si>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</si>
  <si>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</si>
  <si>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</si>
  <si>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</si>
  <si>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</si>
  <si>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</si>
  <si>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</si>
  <si>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</si>
  <si>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</si>
  <si>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</si>
  <si>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</si>
  <si>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</si>
  <si>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</si>
  <si>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</si>
  <si>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</si>
  <si>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</si>
  <si>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</si>
  <si>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</si>
  <si>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</si>
  <si>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</si>
  <si>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</si>
  <si>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</si>
  <si>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</si>
  <si>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</si>
  <si>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</si>
  <si>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</si>
  <si>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</si>
  <si>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</si>
  <si>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</si>
  <si>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</si>
  <si>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</si>
  <si>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</si>
  <si>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</si>
  <si>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</si>
  <si>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</si>
  <si>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</si>
  <si>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</si>
  <si>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</si>
  <si>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</si>
  <si>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</si>
  <si>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</si>
  <si>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</si>
  <si>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</si>
  <si>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</si>
  <si>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</si>
  <si>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</si>
  <si>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</si>
  <si>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</si>
  <si>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</si>
  <si>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</si>
  <si>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</si>
  <si>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</si>
  <si>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</si>
  <si>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</si>
  <si>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</si>
  <si>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</si>
  <si>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</si>
  <si>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</si>
  <si>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</si>
  <si>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</si>
  <si>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</si>
  <si>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</si>
  <si>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</si>
  <si>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</si>
  <si>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</si>
  <si>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</si>
  <si>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</si>
  <si>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</si>
  <si>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</si>
  <si>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</si>
  <si>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</si>
  <si>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</si>
  <si>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</si>
  <si>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</si>
  <si>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</si>
  <si>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</si>
  <si>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</si>
  <si>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</si>
  <si>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</si>
  <si>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</si>
  <si>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</si>
  <si>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</si>
  <si>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</si>
  <si>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</si>
  <si>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</si>
  <si>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</si>
  <si>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</si>
  <si>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</si>
  <si>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</si>
  <si>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</si>
  <si>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</si>
  <si>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</si>
  <si>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</si>
  <si>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</si>
  <si>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</si>
  <si>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</si>
  <si>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</si>
  <si>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</si>
  <si>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</si>
  <si>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</si>
  <si>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</si>
  <si>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</si>
  <si>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</si>
  <si>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</si>
  <si>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</si>
  <si>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</si>
  <si>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</si>
  <si>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</si>
  <si>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</si>
  <si>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</si>
  <si>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</si>
  <si>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</si>
  <si>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</si>
  <si>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</si>
  <si>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</si>
  <si>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</si>
  <si>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</si>
  <si>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</si>
  <si>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</si>
  <si>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</si>
  <si>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</si>
  <si>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</si>
  <si>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</si>
  <si>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</si>
  <si>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</si>
  <si>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</si>
  <si>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</si>
  <si>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</si>
  <si>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</si>
  <si>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</si>
  <si>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</si>
  <si>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</si>
  <si>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</si>
  <si>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</si>
  <si>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</si>
  <si>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</si>
  <si>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</si>
  <si>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</si>
  <si>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</si>
  <si>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</si>
  <si>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</si>
  <si>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</si>
  <si>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</si>
  <si>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</si>
  <si>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</si>
  <si>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</si>
  <si>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</si>
  <si>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</si>
  <si>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</si>
  <si>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</si>
  <si>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</si>
  <si>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</si>
  <si>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</si>
  <si>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</si>
  <si>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</si>
  <si>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</si>
  <si>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</si>
  <si>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</si>
  <si>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</si>
  <si>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</si>
  <si>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</si>
  <si>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</si>
  <si>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</si>
  <si>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</si>
  <si>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</si>
  <si>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</si>
  <si>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</si>
  <si>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</si>
  <si>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</si>
  <si>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</si>
  <si>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</si>
  <si>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</si>
  <si>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</si>
  <si>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</si>
  <si>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</si>
  <si>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</si>
  <si>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</si>
  <si>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</si>
  <si>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</si>
  <si>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</si>
  <si>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</si>
  <si>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</si>
  <si>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</si>
  <si>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</si>
  <si>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</si>
  <si>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</si>
  <si>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</si>
  <si>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</si>
  <si>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</si>
  <si>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</si>
  <si>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</si>
  <si>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</si>
  <si>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</si>
  <si>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</si>
  <si>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</si>
  <si>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</si>
  <si>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</si>
  <si>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</si>
  <si>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</si>
  <si>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</si>
  <si>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</si>
  <si>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</si>
  <si>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</si>
  <si>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</si>
  <si>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</si>
  <si>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</si>
  <si>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</si>
  <si>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</si>
  <si>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</si>
  <si>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</si>
  <si>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</si>
  <si>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</si>
  <si>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</si>
  <si>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</si>
  <si>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</si>
  <si>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</si>
  <si>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</si>
  <si>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</si>
  <si>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</si>
  <si>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</si>
  <si>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</si>
  <si>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</si>
  <si>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</si>
  <si>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</si>
  <si>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</si>
  <si>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</si>
  <si>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</si>
  <si>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</si>
  <si>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</si>
  <si>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</si>
  <si>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</si>
  <si>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</si>
  <si>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</si>
  <si>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</si>
  <si>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</si>
  <si>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</si>
  <si>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</si>
  <si>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</si>
  <si>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</si>
  <si>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</si>
  <si>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</si>
  <si>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</si>
  <si>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</si>
  <si>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</si>
  <si>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</si>
  <si>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</si>
  <si>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</si>
  <si>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</si>
  <si>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</si>
  <si>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</si>
  <si>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</si>
  <si>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</si>
  <si>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</si>
  <si>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</si>
  <si>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</si>
  <si>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</si>
  <si>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</si>
  <si>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</si>
  <si>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</si>
  <si>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</si>
  <si>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</si>
  <si>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</si>
  <si>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</si>
  <si>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</si>
  <si>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</si>
  <si>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</si>
  <si>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</si>
  <si>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</si>
  <si>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</si>
  <si>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</si>
  <si>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</si>
  <si>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</si>
  <si>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</si>
  <si>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</si>
  <si>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</si>
  <si>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</si>
  <si>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</si>
  <si>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</si>
  <si>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</si>
  <si>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</si>
  <si>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</si>
  <si>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</si>
  <si>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</si>
  <si>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</si>
  <si>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</si>
  <si>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</si>
  <si>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</si>
  <si>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</si>
  <si>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</si>
  <si>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</si>
  <si>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</si>
  <si>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</si>
  <si>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</si>
  <si>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</si>
  <si>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</si>
  <si>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</si>
  <si>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</si>
  <si>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</si>
  <si>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</si>
  <si>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</si>
  <si>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</si>
  <si>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</si>
  <si>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</si>
  <si>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</si>
  <si>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</si>
  <si>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</si>
  <si>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</si>
  <si>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</si>
  <si>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</si>
  <si>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</si>
  <si>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</si>
  <si>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</si>
  <si>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</si>
  <si>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</si>
  <si>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</si>
  <si>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</si>
  <si>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</si>
  <si>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</si>
  <si>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</si>
  <si>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</si>
  <si>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</si>
  <si>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</si>
  <si>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</si>
  <si>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</si>
  <si>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</si>
  <si>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</si>
  <si>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</si>
  <si>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</si>
  <si>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</si>
  <si>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</si>
  <si>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</si>
  <si>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</si>
  <si>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</si>
  <si>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</si>
  <si>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</si>
  <si>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</si>
  <si>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</si>
  <si>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</si>
  <si>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</si>
  <si>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</si>
  <si>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</si>
  <si>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</si>
  <si>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</si>
  <si>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</si>
  <si>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</si>
  <si>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</si>
  <si>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</si>
  <si>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</si>
  <si>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</si>
  <si>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</si>
  <si>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</si>
  <si>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</si>
  <si>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</si>
  <si>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</si>
  <si>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</si>
  <si>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</si>
  <si>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</si>
  <si>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</si>
  <si>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</si>
  <si>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</si>
  <si>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</si>
  <si>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</si>
  <si>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</si>
  <si>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</si>
  <si>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</si>
  <si>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</si>
  <si>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</si>
  <si>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</si>
  <si>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</si>
  <si>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</si>
  <si>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</si>
  <si>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</si>
  <si>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</si>
  <si>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</si>
  <si>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</si>
  <si>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</si>
  <si>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</si>
  <si>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</si>
  <si>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</si>
  <si>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</si>
  <si>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</si>
  <si>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</si>
  <si>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</si>
  <si>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</si>
  <si>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</si>
  <si>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</si>
  <si>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</si>
  <si>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</si>
  <si>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</si>
  <si>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</si>
  <si>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</si>
  <si>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</si>
  <si>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</si>
  <si>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</si>
  <si>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</si>
  <si>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</si>
  <si>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</si>
  <si>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</si>
  <si>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</si>
  <si>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</si>
  <si>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</si>
  <si>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</si>
  <si>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</si>
  <si>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</si>
  <si>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</si>
  <si>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</si>
  <si>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</si>
  <si>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</si>
  <si>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</si>
  <si>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</si>
  <si>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</si>
  <si>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</si>
  <si>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</si>
  <si>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</si>
  <si>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</si>
  <si>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</si>
  <si>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</si>
  <si>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</si>
  <si>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</si>
  <si>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</si>
  <si>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</si>
  <si>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</si>
  <si>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</si>
  <si>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</si>
  <si>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</si>
  <si>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</si>
  <si>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</si>
  <si>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</si>
  <si>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</si>
  <si>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</si>
  <si>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</si>
  <si>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</si>
  <si>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</si>
  <si>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</si>
  <si>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</si>
  <si>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</si>
  <si>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</si>
  <si>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</si>
  <si>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</si>
  <si>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</si>
  <si>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</si>
  <si>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</si>
  <si>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</si>
  <si>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</si>
  <si>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</si>
  <si>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</si>
  <si>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</si>
  <si>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</si>
  <si>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</si>
  <si>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</si>
  <si>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</si>
  <si>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</si>
  <si>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</si>
  <si>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</si>
  <si>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</si>
  <si>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</si>
  <si>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</si>
  <si>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</si>
  <si>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</si>
  <si>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</si>
  <si>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</si>
  <si>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</si>
  <si>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</si>
  <si>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</si>
  <si>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</si>
  <si>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</si>
  <si>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</si>
  <si>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</si>
  <si>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</si>
  <si>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</si>
  <si>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</si>
  <si>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</si>
  <si>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</si>
  <si>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</si>
  <si>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</si>
  <si>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</si>
  <si>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</si>
  <si>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</si>
  <si>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</si>
  <si>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</si>
  <si>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</si>
  <si>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</si>
  <si>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</si>
  <si>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</si>
  <si>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</si>
  <si>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</si>
  <si>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</si>
  <si>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</si>
  <si>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</si>
  <si>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</si>
  <si>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</si>
  <si>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</si>
  <si>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</si>
  <si>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</si>
  <si>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</si>
  <si>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</si>
  <si>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</si>
  <si>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</si>
  <si>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</si>
  <si>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</si>
  <si>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</si>
  <si>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</si>
  <si>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</si>
  <si>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</si>
  <si>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</si>
  <si>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</si>
  <si>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</si>
  <si>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</si>
  <si>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</si>
  <si>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</si>
  <si>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</si>
  <si>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</si>
  <si>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</si>
  <si>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</si>
  <si>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</si>
  <si>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</si>
  <si>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</si>
  <si>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</si>
  <si>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</si>
  <si>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</si>
  <si>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</si>
  <si>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</si>
  <si>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</si>
  <si>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</si>
  <si>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</si>
  <si>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</si>
  <si>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</si>
  <si>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</si>
  <si>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</si>
  <si>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</si>
  <si>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</si>
  <si>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</si>
  <si>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</si>
  <si>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</si>
  <si>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</si>
  <si>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</si>
  <si>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</si>
  <si>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</si>
  <si>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</si>
  <si>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</si>
  <si>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</si>
  <si>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</si>
  <si>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</si>
  <si>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</si>
  <si>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</si>
  <si>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</si>
  <si>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</si>
  <si>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</si>
  <si>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</si>
  <si>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</si>
  <si>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</si>
  <si>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</si>
  <si>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</si>
  <si>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</si>
  <si>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</si>
  <si>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</si>
  <si>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</si>
  <si>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</si>
  <si>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</si>
  <si>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</si>
  <si>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</si>
  <si>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</si>
  <si>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</si>
  <si>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</si>
  <si>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</si>
  <si>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</si>
  <si>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</si>
  <si>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</si>
  <si>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</si>
  <si>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</si>
  <si>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</si>
  <si>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</si>
  <si>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</si>
  <si>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</si>
  <si>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</si>
  <si>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</si>
  <si>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</si>
  <si>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</si>
  <si>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</si>
  <si>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</si>
  <si>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</si>
  <si>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</si>
  <si>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</si>
  <si>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</si>
  <si>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</si>
  <si>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</si>
  <si>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</si>
  <si>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</si>
  <si>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</si>
  <si>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</si>
  <si>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</si>
  <si>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</si>
  <si>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</si>
  <si>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</si>
  <si>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</si>
  <si>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</si>
  <si>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</si>
  <si>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</si>
  <si>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</si>
  <si>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</si>
  <si>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</si>
  <si>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</si>
  <si>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</si>
  <si>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</si>
  <si>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</si>
  <si>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</si>
  <si>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</si>
  <si>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</si>
  <si>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</si>
  <si>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</si>
  <si>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</si>
  <si>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</si>
  <si>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</si>
  <si>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</si>
  <si>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</si>
  <si>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</si>
  <si>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</si>
  <si>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</si>
  <si>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</si>
  <si>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</si>
  <si>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</si>
  <si>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</si>
  <si>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</si>
  <si>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</si>
  <si>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</si>
  <si>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</si>
  <si>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</si>
  <si>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</si>
  <si>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</si>
  <si>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</si>
  <si>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</si>
  <si>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</si>
  <si>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</si>
  <si>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</si>
  <si>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</si>
  <si>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</si>
  <si>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</si>
  <si>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</si>
  <si>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</si>
  <si>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</si>
  <si>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</si>
  <si>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</si>
  <si>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</si>
  <si>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</si>
  <si>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</si>
  <si>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</si>
  <si>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</si>
  <si>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</si>
  <si>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</si>
  <si>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</si>
  <si>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</si>
  <si>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</si>
  <si>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</si>
  <si>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</si>
  <si>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</si>
  <si>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</si>
  <si>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</si>
  <si>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</si>
  <si>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</si>
  <si>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</si>
  <si>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</si>
  <si>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</si>
  <si>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</si>
  <si>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</si>
  <si>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</si>
  <si>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</si>
  <si>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</si>
  <si>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</si>
  <si>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</si>
  <si>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</si>
  <si>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</si>
  <si>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</si>
  <si>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</si>
  <si>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</si>
  <si>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</si>
  <si>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</si>
  <si>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</si>
  <si>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</si>
  <si>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</si>
  <si>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</si>
  <si>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</si>
  <si>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</si>
  <si>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</si>
  <si>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</si>
  <si>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</si>
  <si>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</si>
  <si>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</si>
  <si>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</si>
  <si>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</si>
  <si>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</si>
  <si>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</si>
  <si>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</si>
  <si>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</si>
  <si>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</si>
  <si>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</si>
  <si>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</si>
  <si>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</si>
  <si>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</si>
  <si>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</si>
  <si>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</si>
  <si>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</si>
  <si>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</si>
  <si>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</si>
  <si>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</si>
  <si>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</si>
  <si>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</si>
  <si>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</si>
  <si>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</si>
  <si>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</si>
  <si>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</si>
  <si>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</si>
  <si>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</si>
  <si>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</si>
  <si>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</si>
  <si>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</si>
  <si>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</si>
  <si>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</si>
  <si>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</si>
  <si>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</si>
  <si>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</si>
  <si>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</si>
  <si>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</si>
  <si>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</si>
  <si>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</si>
  <si>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</si>
  <si>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</si>
  <si>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</si>
  <si>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</si>
  <si>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</si>
  <si>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</si>
  <si>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</si>
  <si>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</si>
  <si>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</si>
  <si>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</si>
  <si>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</si>
  <si>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</si>
  <si>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</si>
  <si>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</si>
  <si>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</si>
  <si>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</si>
  <si>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</si>
  <si>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</si>
  <si>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</si>
  <si>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</si>
  <si>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</si>
  <si>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</si>
  <si>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</si>
  <si>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</si>
  <si>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</si>
  <si>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</si>
  <si>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</si>
  <si>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</si>
  <si>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</si>
  <si>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</si>
  <si>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</si>
  <si>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</si>
  <si>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</si>
  <si>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</si>
  <si>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</si>
  <si>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</si>
  <si>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</si>
  <si>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</si>
  <si>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</si>
  <si>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</si>
  <si>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</si>
  <si>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</si>
  <si>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</si>
  <si>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</si>
  <si>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</si>
  <si>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</si>
  <si>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</si>
  <si>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</si>
  <si>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</si>
  <si>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</si>
  <si>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</si>
  <si>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</si>
  <si>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</si>
  <si>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</si>
  <si>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</si>
  <si>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</si>
  <si>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</si>
  <si>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</si>
  <si>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</si>
  <si>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</si>
  <si>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</si>
  <si>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</si>
  <si>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</si>
  <si>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</si>
  <si>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</si>
  <si>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</si>
  <si>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</si>
  <si>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</si>
  <si>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</si>
  <si>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</si>
  <si>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</si>
  <si>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</si>
  <si>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</si>
  <si>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</si>
  <si>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</si>
  <si>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</si>
  <si>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</si>
  <si>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</si>
  <si>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</si>
  <si>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</si>
  <si>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</si>
  <si>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</si>
  <si>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</si>
  <si>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</si>
  <si>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</si>
  <si>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</si>
  <si>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</si>
  <si>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</si>
  <si>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</si>
  <si>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</si>
  <si>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</si>
  <si>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</si>
  <si>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</si>
  <si>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</si>
  <si>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</si>
  <si>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</si>
  <si>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</si>
  <si>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</si>
  <si>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</si>
  <si>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</si>
  <si>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</si>
  <si>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</si>
  <si>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</si>
  <si>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</si>
  <si>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</si>
  <si>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</si>
  <si>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</si>
  <si>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</si>
  <si>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</si>
  <si>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</si>
  <si>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</si>
  <si>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</si>
  <si>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</si>
  <si>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</si>
  <si>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</si>
  <si>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</si>
  <si>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</si>
  <si>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</si>
  <si>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</si>
  <si>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</si>
  <si>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</si>
  <si>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</si>
  <si>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</si>
  <si>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</si>
  <si>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</si>
  <si>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</si>
  <si>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</si>
  <si>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</si>
  <si>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</si>
  <si>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</si>
  <si>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</si>
  <si>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</si>
  <si>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</si>
  <si>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</si>
  <si>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</si>
  <si>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</si>
  <si>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</si>
  <si>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</si>
  <si>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</si>
  <si>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</si>
  <si>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</si>
  <si>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</si>
  <si>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</si>
  <si>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</si>
  <si>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</si>
  <si>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</si>
  <si>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</si>
  <si>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</si>
  <si>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</si>
  <si>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</si>
  <si>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</si>
  <si>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</si>
  <si>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</si>
  <si>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</si>
  <si>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</si>
  <si>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</si>
  <si>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</si>
  <si>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</si>
  <si>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</si>
  <si>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</si>
  <si>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</si>
  <si>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</si>
  <si>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</si>
  <si>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</si>
  <si>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</si>
  <si>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</si>
  <si>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</si>
  <si>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</si>
  <si>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</si>
  <si>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</si>
  <si>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</si>
  <si>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</si>
  <si>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</si>
  <si>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</si>
  <si>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</si>
  <si>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</si>
  <si>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</si>
  <si>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</si>
  <si>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</si>
  <si>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</si>
  <si>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</si>
  <si>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</si>
  <si>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</si>
  <si>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</si>
  <si>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</si>
  <si>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</si>
  <si>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</si>
  <si>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</si>
  <si>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</si>
  <si>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</si>
  <si>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</si>
  <si>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</si>
  <si>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</si>
  <si>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</si>
  <si>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</si>
  <si>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</si>
  <si>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</si>
  <si>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</si>
  <si>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</si>
  <si>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</si>
  <si>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</si>
  <si>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</si>
  <si>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</si>
  <si>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</si>
  <si>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</si>
  <si>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</si>
  <si>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</si>
  <si>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</si>
  <si>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</si>
  <si>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</si>
  <si>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</si>
  <si>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</si>
  <si>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</si>
  <si>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</si>
  <si>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</si>
  <si>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</si>
  <si>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</si>
  <si>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</si>
  <si>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</si>
  <si>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</si>
  <si>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</si>
  <si>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</si>
  <si>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</si>
  <si>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</si>
  <si>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</si>
  <si>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</si>
  <si>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</si>
  <si>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</si>
  <si>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</si>
  <si>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</si>
  <si>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</si>
  <si>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</si>
  <si>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</si>
  <si>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</si>
  <si>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</si>
  <si>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</si>
  <si>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</si>
  <si>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</si>
  <si>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</si>
  <si>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</si>
  <si>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</si>
  <si>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</si>
  <si>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</si>
  <si>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</si>
  <si>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</si>
  <si>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</si>
  <si>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</si>
  <si>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</si>
  <si>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</si>
  <si>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</si>
  <si>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</si>
  <si>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</si>
  <si>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</si>
  <si>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</si>
  <si>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</si>
  <si>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</si>
  <si>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</si>
  <si>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</si>
  <si>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</si>
  <si>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</si>
  <si>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</si>
  <si>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</si>
  <si>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</si>
  <si>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</si>
  <si>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</si>
  <si>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</si>
  <si>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</si>
  <si>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</si>
  <si>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</si>
  <si>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</si>
  <si>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</si>
  <si>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</si>
  <si>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</si>
  <si>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</si>
  <si>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</si>
  <si>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</si>
  <si>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</si>
  <si>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</si>
  <si>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</si>
  <si>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</si>
  <si>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</si>
  <si>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</si>
  <si>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</si>
  <si>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</si>
  <si>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</si>
  <si>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</si>
  <si>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</si>
  <si>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</si>
  <si>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</si>
  <si>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</si>
  <si>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</si>
  <si>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</si>
  <si>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</si>
  <si>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</si>
  <si>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</si>
  <si>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</si>
  <si>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</si>
  <si>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</si>
  <si>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</si>
  <si>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</si>
  <si>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</si>
  <si>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</si>
  <si>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</si>
  <si>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</si>
  <si>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</si>
  <si>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</si>
  <si>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</si>
  <si>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</si>
  <si>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</si>
  <si>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</si>
  <si>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</si>
  <si>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</si>
  <si>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</si>
  <si>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</si>
  <si>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</si>
  <si>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</si>
  <si>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</si>
  <si>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</si>
  <si>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</si>
  <si>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</si>
  <si>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</si>
  <si>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</si>
  <si>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</si>
  <si>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</si>
  <si>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</si>
  <si>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</si>
  <si>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</si>
  <si>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</si>
  <si>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</si>
  <si>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</si>
  <si>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</si>
  <si>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</si>
  <si>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</si>
  <si>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</si>
  <si>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</si>
  <si>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</si>
  <si>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</si>
  <si>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</si>
  <si>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</si>
  <si>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</si>
  <si>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</si>
  <si>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</si>
  <si>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</si>
  <si>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</si>
  <si>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</si>
  <si>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</si>
  <si>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</si>
  <si>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</si>
  <si>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</si>
  <si>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</si>
  <si>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</si>
  <si>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</si>
  <si>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</si>
  <si>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</si>
  <si>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</si>
  <si>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</si>
  <si>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</si>
  <si>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</si>
  <si>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</si>
  <si>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</si>
  <si>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</si>
  <si>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</si>
  <si>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</si>
  <si>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</si>
  <si>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</si>
  <si>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</si>
  <si>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</si>
  <si>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</si>
  <si>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</si>
  <si>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</si>
  <si>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</si>
  <si>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</si>
  <si>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</si>
  <si>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</si>
  <si>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</si>
  <si>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</si>
  <si>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</si>
  <si>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</si>
  <si>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</si>
  <si>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</si>
  <si>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</si>
  <si>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</si>
  <si>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</si>
  <si>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</si>
  <si>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</si>
  <si>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</si>
  <si>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</si>
  <si>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</si>
  <si>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</si>
  <si>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</si>
  <si>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</si>
  <si>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</si>
  <si>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</si>
  <si>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</si>
  <si>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</si>
  <si>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</si>
  <si>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</si>
  <si>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</si>
  <si>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</si>
  <si>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</si>
  <si>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</si>
  <si>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</si>
  <si>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</si>
  <si>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</si>
  <si>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</si>
  <si>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</si>
  <si>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</si>
  <si>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</si>
  <si>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</si>
  <si>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</si>
  <si>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</si>
  <si>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</si>
  <si>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</si>
  <si>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</si>
  <si>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</si>
  <si>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</si>
  <si>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</si>
  <si>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</si>
  <si>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</si>
  <si>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</si>
  <si>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</si>
  <si>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</si>
  <si>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</si>
  <si>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</si>
  <si>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</si>
  <si>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</si>
  <si>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</si>
  <si>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</si>
  <si>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</si>
  <si>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</si>
  <si>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</si>
  <si>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</si>
  <si>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</si>
  <si>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</si>
  <si>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</si>
  <si>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</si>
  <si>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</si>
  <si>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</si>
  <si>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</si>
  <si>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</si>
  <si>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</si>
  <si>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</si>
  <si>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</si>
  <si>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</si>
  <si>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</si>
  <si>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</si>
  <si>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</si>
  <si>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</si>
  <si>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</si>
  <si>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</si>
  <si>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</si>
  <si>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</si>
  <si>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</si>
  <si>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</si>
  <si>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</si>
  <si>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</si>
  <si>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</si>
  <si>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</si>
  <si>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</si>
  <si>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</si>
  <si>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</si>
  <si>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</si>
  <si>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</si>
  <si>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</si>
  <si>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</si>
  <si>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</si>
  <si>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</si>
  <si>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</si>
  <si>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</si>
  <si>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</si>
  <si>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</si>
  <si>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</si>
  <si>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</si>
  <si>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</si>
  <si>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</si>
  <si>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</si>
  <si>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</si>
  <si>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</si>
  <si>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</si>
  <si>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</si>
  <si>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</si>
  <si>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</si>
  <si>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</si>
  <si>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</si>
  <si>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</si>
  <si>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</si>
  <si>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</si>
  <si>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</si>
  <si>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</si>
  <si>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</si>
  <si>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</si>
  <si>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</si>
  <si>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</si>
  <si>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</si>
  <si>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</si>
  <si>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</si>
  <si>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</si>
  <si>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</si>
  <si>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</si>
  <si>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</si>
  <si>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</si>
  <si>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</si>
  <si>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</si>
  <si>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</si>
  <si>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</si>
  <si>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</si>
  <si>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</si>
  <si>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</si>
  <si>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</si>
  <si>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</si>
  <si>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</si>
  <si>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</si>
  <si>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</si>
  <si>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</si>
  <si>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</si>
  <si>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</si>
  <si>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</si>
  <si>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</si>
  <si>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</si>
  <si>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</si>
  <si>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</si>
  <si>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</si>
  <si>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</si>
  <si>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</si>
  <si>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</si>
  <si>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</si>
  <si>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</si>
  <si>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</si>
  <si>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</si>
  <si>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</si>
  <si>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</si>
  <si>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</si>
  <si>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</si>
  <si>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</si>
  <si>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</si>
  <si>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</si>
  <si>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</si>
  <si>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</si>
  <si>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</si>
  <si>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</si>
  <si>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</si>
  <si>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</si>
  <si>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</si>
  <si>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</si>
  <si>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</si>
  <si>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</si>
  <si>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</si>
  <si>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</si>
  <si>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</si>
  <si>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</si>
  <si>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</si>
  <si>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</si>
  <si>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</si>
  <si>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</si>
  <si>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</si>
  <si>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</si>
  <si>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</si>
  <si>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</si>
  <si>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</si>
  <si>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</si>
  <si>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</si>
  <si>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</si>
  <si>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</si>
  <si>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</si>
  <si>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</si>
  <si>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</si>
  <si>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</si>
  <si>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</si>
  <si>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</si>
  <si>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</si>
  <si>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</si>
  <si>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</si>
  <si>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</si>
  <si>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</si>
  <si>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</si>
  <si>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</si>
  <si>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</si>
  <si>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</si>
  <si>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</si>
  <si>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</si>
  <si>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</si>
  <si>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</si>
  <si>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</si>
  <si>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</si>
  <si>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</si>
  <si>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</si>
  <si>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</si>
  <si>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</si>
  <si>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</si>
  <si>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</si>
  <si>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</si>
  <si>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</si>
  <si>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</si>
  <si>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</si>
  <si>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</si>
  <si>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</si>
  <si>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</si>
  <si>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</si>
  <si>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</si>
  <si>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</si>
  <si>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</si>
  <si>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</si>
  <si>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</si>
  <si>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</si>
  <si>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</si>
  <si>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</si>
  <si>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</si>
  <si>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</si>
  <si>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</si>
  <si>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</si>
  <si>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</si>
  <si>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</si>
  <si>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</si>
  <si>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</si>
  <si>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</si>
  <si>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</si>
  <si>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</si>
  <si>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</si>
  <si>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</si>
  <si>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</si>
  <si>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</si>
  <si>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</si>
  <si>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</si>
  <si>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</si>
  <si>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</si>
  <si>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</si>
  <si>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</si>
  <si>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</si>
  <si>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</si>
  <si>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</si>
  <si>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</si>
  <si>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</si>
  <si>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</si>
  <si>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</si>
  <si>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</si>
  <si>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</si>
  <si>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</si>
  <si>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</si>
  <si>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</si>
  <si>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</si>
  <si>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</si>
  <si>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</si>
  <si>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</si>
  <si>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</si>
  <si>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</si>
  <si>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</si>
  <si>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</si>
  <si>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</si>
  <si>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</si>
  <si>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</si>
  <si>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</si>
  <si>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</si>
  <si>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</si>
  <si>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</si>
  <si>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</si>
  <si>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</si>
  <si>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</si>
  <si>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</si>
  <si>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</si>
  <si>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</si>
  <si>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</si>
  <si>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</si>
  <si>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</si>
  <si>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</si>
  <si>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</si>
  <si>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</si>
  <si>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</si>
  <si>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</si>
  <si>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</si>
  <si>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</si>
  <si>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</si>
  <si>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</si>
  <si>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</si>
  <si>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</si>
  <si>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</si>
  <si>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</si>
  <si>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</si>
  <si>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</si>
  <si>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</si>
  <si>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</si>
  <si>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</si>
  <si>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</si>
  <si>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</si>
  <si>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</si>
  <si>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</si>
  <si>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</si>
  <si>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</si>
  <si>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</si>
  <si>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</si>
  <si>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</si>
  <si>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</si>
  <si>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</si>
  <si>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</si>
  <si>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</si>
  <si>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</si>
  <si>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</si>
  <si>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</si>
  <si>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</si>
  <si>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</si>
  <si>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</si>
  <si>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</si>
  <si>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</si>
  <si>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</si>
  <si>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</si>
  <si>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</si>
  <si>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</si>
  <si>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</si>
  <si>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</si>
  <si>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</si>
  <si>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</si>
  <si>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</si>
  <si>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</si>
  <si>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</si>
  <si>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</si>
  <si>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</si>
  <si>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</si>
  <si>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</si>
  <si>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</si>
  <si>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</si>
  <si>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</si>
  <si>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</si>
  <si>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</si>
  <si>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</si>
  <si>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</si>
  <si>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</si>
  <si>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</si>
  <si>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</si>
  <si>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</si>
  <si>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</si>
  <si>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</si>
  <si>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</si>
  <si>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</si>
  <si>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</si>
  <si>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</si>
  <si>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</si>
  <si>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</si>
  <si>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</si>
  <si>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</si>
  <si>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</si>
  <si>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</si>
  <si>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</si>
  <si>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</si>
  <si>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</si>
  <si>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</si>
  <si>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</si>
  <si>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</si>
  <si>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</si>
  <si>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</si>
  <si>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</si>
  <si>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</si>
  <si>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</si>
  <si>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</si>
  <si>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</si>
  <si>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</si>
  <si>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</si>
  <si>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</si>
  <si>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</si>
  <si>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</si>
  <si>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</si>
  <si>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</si>
  <si>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</si>
  <si>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</si>
  <si>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</si>
  <si>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</si>
  <si>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</si>
  <si>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</si>
  <si>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</si>
  <si>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</si>
  <si>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</si>
  <si>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</si>
  <si>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</si>
  <si>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</si>
  <si>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</si>
  <si>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</si>
  <si>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</si>
  <si>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</si>
  <si>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</si>
  <si>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</si>
  <si>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</si>
  <si>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</si>
  <si>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</si>
  <si>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</si>
  <si>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</si>
  <si>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</si>
  <si>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</si>
  <si>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</si>
  <si>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</si>
  <si>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</si>
  <si>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</si>
  <si>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</si>
  <si>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</si>
  <si>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</si>
  <si>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</si>
  <si>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</si>
  <si>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</si>
  <si>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</si>
  <si>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</si>
  <si>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</si>
  <si>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</si>
  <si>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</si>
  <si>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</si>
  <si>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</si>
  <si>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</si>
  <si>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</si>
  <si>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</si>
  <si>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</si>
  <si>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</si>
  <si>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</si>
  <si>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</si>
  <si>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</si>
  <si>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</si>
  <si>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</si>
  <si>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</si>
  <si>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</si>
  <si>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</si>
  <si>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</si>
  <si>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</si>
  <si>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</si>
  <si>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</si>
  <si>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</si>
  <si>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</si>
  <si>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</si>
  <si>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</si>
  <si>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</si>
  <si>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</si>
  <si>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</si>
  <si>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</si>
  <si>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</si>
  <si>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</si>
  <si>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</si>
  <si>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</si>
  <si>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</si>
  <si>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</si>
  <si>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</si>
  <si>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</si>
  <si>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</si>
  <si>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</si>
  <si>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</si>
  <si>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</si>
  <si>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</si>
  <si>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</si>
  <si>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</si>
  <si>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</si>
  <si>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</si>
  <si>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</si>
  <si>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</si>
  <si>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</si>
  <si>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</si>
  <si>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</si>
  <si>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</si>
  <si>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</si>
  <si>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</si>
  <si>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</si>
  <si>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</si>
  <si>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</si>
  <si>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</si>
  <si>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</si>
  <si>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</si>
  <si>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</si>
  <si>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</si>
  <si>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</si>
  <si>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</si>
  <si>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</si>
  <si>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</si>
  <si>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</si>
  <si>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</si>
  <si>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</si>
  <si>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</si>
  <si>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</si>
  <si>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</si>
  <si>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</si>
  <si>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</si>
  <si>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</si>
  <si>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</si>
  <si>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</si>
  <si>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</si>
  <si>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</si>
  <si>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</si>
  <si>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</si>
  <si>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</si>
  <si>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</si>
  <si>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</si>
  <si>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</si>
  <si>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</si>
  <si>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</si>
  <si>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</si>
  <si>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</si>
  <si>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</si>
  <si>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</si>
  <si>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</si>
  <si>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</si>
  <si>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</si>
  <si>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</si>
  <si>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</si>
  <si>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</si>
  <si>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</si>
  <si>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</si>
  <si>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</si>
  <si>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</si>
  <si>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</si>
  <si>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</si>
  <si>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</si>
  <si>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</si>
  <si>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</si>
  <si>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</si>
  <si>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</si>
  <si>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</si>
  <si>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</si>
  <si>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</si>
  <si>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</si>
  <si>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</si>
  <si>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</si>
  <si>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</si>
  <si>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</si>
  <si>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</si>
  <si>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</si>
  <si>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</si>
  <si>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</si>
  <si>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</si>
  <si>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</si>
  <si>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</si>
  <si>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</si>
  <si>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</si>
  <si>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</si>
  <si>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</si>
  <si>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</si>
  <si>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</si>
  <si>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</si>
  <si>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</si>
  <si>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</si>
  <si>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</si>
  <si>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</si>
  <si>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</si>
  <si>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</si>
  <si>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</si>
  <si>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</si>
  <si>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</si>
  <si>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</si>
  <si>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</si>
  <si>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</si>
  <si>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</si>
  <si>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</si>
  <si>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</si>
  <si>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</si>
  <si>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</si>
  <si>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</si>
  <si>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</si>
  <si>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</si>
  <si>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</si>
  <si>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</si>
  <si>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</si>
  <si>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</si>
  <si>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</si>
  <si>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</si>
  <si>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</si>
  <si>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</si>
  <si>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</si>
  <si>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</si>
  <si>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</si>
  <si>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</si>
  <si>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</si>
  <si>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</si>
  <si>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</si>
  <si>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</si>
  <si>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</si>
  <si>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</si>
  <si>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</si>
  <si>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</si>
  <si>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</si>
  <si>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</si>
  <si>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</si>
  <si>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</si>
  <si>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</si>
  <si>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</si>
  <si>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</si>
  <si>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</si>
  <si>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</si>
  <si>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</si>
  <si>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</si>
  <si>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</si>
  <si>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</si>
  <si>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</si>
  <si>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</si>
  <si>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</si>
  <si>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</si>
  <si>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</si>
  <si>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</si>
  <si>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</si>
  <si>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</si>
  <si>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</si>
  <si>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</si>
  <si>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</si>
  <si>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</si>
  <si>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</si>
  <si>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</si>
  <si>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</si>
  <si>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</si>
  <si>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</si>
  <si>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</si>
  <si>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</si>
  <si>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</si>
  <si>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</si>
  <si>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</si>
  <si>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</si>
  <si>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</si>
  <si>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</si>
  <si>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</si>
  <si>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</si>
  <si>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</si>
  <si>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</si>
  <si>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</si>
  <si>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</si>
  <si>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</si>
  <si>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</si>
  <si>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</si>
  <si>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</si>
  <si>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</si>
  <si>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</si>
  <si>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</si>
  <si>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</si>
  <si>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</si>
  <si>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</si>
  <si>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</si>
  <si>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</si>
  <si>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</si>
  <si>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</si>
  <si>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</si>
  <si>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</si>
  <si>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</si>
  <si>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</si>
  <si>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</si>
  <si>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</si>
  <si>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</si>
  <si>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</si>
  <si>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</si>
  <si>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</si>
  <si>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</si>
  <si>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</si>
  <si>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</si>
  <si>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</si>
  <si>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</si>
  <si>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</si>
  <si>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</si>
  <si>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</si>
  <si>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</si>
  <si>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</si>
  <si>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</si>
  <si>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</si>
  <si>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</si>
  <si>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</si>
  <si>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</si>
  <si>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</si>
  <si>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</si>
  <si>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</si>
  <si>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</si>
  <si>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</si>
  <si>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</si>
  <si>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</si>
  <si>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</si>
  <si>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</si>
  <si>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</si>
  <si>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</si>
  <si>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</si>
  <si>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</si>
  <si>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</si>
  <si>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</si>
  <si>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</si>
  <si>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</si>
  <si>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</si>
  <si>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</si>
  <si>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</si>
  <si>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</si>
  <si>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</si>
  <si>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</si>
  <si>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</si>
  <si>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</si>
  <si>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</si>
  <si>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</si>
  <si>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</si>
  <si>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</si>
  <si>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</si>
  <si>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</si>
  <si>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</si>
  <si>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</si>
  <si>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</si>
  <si>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</si>
  <si>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</si>
  <si>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</si>
  <si>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</si>
  <si>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</si>
  <si>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</si>
  <si>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</si>
  <si>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</si>
  <si>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</si>
  <si>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</si>
  <si>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</si>
  <si>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</si>
  <si>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</si>
  <si>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</si>
  <si>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</si>
  <si>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</si>
  <si>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</si>
  <si>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</si>
  <si>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</si>
  <si>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</si>
  <si>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</si>
  <si>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</si>
  <si>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</si>
  <si>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</si>
  <si>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</si>
  <si>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</si>
  <si>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</si>
  <si>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</si>
  <si>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</si>
  <si>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</si>
  <si>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</si>
  <si>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</si>
  <si>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</si>
  <si>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</si>
  <si>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</si>
  <si>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</si>
  <si>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</si>
  <si>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</si>
  <si>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</si>
  <si>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</si>
  <si>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</si>
  <si>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</si>
  <si>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</si>
  <si>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</si>
  <si>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</si>
  <si>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</si>
  <si>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</si>
  <si>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</si>
  <si>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</si>
  <si>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</si>
  <si>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</si>
  <si>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</si>
  <si>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</si>
  <si>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</si>
  <si>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</si>
  <si>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</si>
  <si>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</si>
  <si>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</si>
  <si>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</si>
  <si>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</si>
  <si>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</si>
  <si>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</si>
  <si>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</si>
  <si>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</si>
  <si>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</si>
  <si>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</si>
  <si>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</si>
  <si>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</si>
  <si>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</si>
  <si>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</si>
  <si>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</si>
  <si>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</si>
  <si>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</si>
  <si>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</si>
  <si>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</si>
  <si>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</si>
  <si>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</si>
  <si>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</si>
  <si>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</si>
  <si>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</si>
  <si>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</si>
  <si>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</si>
  <si>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</si>
  <si>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</si>
  <si>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</si>
  <si>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</si>
  <si>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</si>
  <si>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</si>
  <si>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</si>
  <si>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</si>
  <si>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</si>
  <si>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</si>
  <si>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</si>
  <si>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</si>
  <si>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</si>
  <si>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</si>
  <si>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</si>
  <si>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</si>
  <si>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</si>
  <si>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</si>
  <si>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</si>
  <si>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</si>
  <si>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</si>
  <si>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</si>
  <si>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</si>
  <si>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</si>
  <si>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</si>
  <si>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</si>
  <si>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</si>
  <si>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</si>
  <si>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</si>
  <si>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</si>
  <si>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</si>
  <si>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</si>
  <si>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</si>
  <si>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</si>
  <si>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</si>
  <si>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</si>
  <si>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</si>
  <si>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</si>
  <si>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</si>
  <si>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</si>
  <si>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</si>
  <si>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</si>
  <si>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</si>
  <si>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</si>
  <si>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</si>
  <si>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</si>
  <si>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</si>
  <si>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</si>
  <si>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</si>
  <si>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</si>
  <si>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</si>
  <si>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</si>
  <si>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</si>
  <si>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</si>
  <si>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</si>
  <si>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</si>
  <si>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</si>
  <si>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</si>
  <si>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</si>
  <si>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</si>
  <si>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</si>
  <si>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</si>
  <si>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</si>
  <si>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</si>
  <si>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</si>
  <si>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</si>
  <si>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</si>
  <si>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</si>
  <si>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</si>
  <si>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</si>
  <si>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</si>
  <si>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</si>
  <si>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</si>
  <si>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</si>
  <si>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</si>
  <si>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</si>
  <si>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</si>
  <si>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</si>
  <si>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</si>
  <si>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</si>
  <si>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</si>
  <si>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</si>
  <si>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</si>
  <si>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</si>
  <si>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</si>
  <si>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</si>
  <si>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</si>
  <si>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</si>
  <si>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</si>
  <si>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</si>
  <si>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</si>
  <si>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</si>
  <si>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</si>
  <si>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</si>
  <si>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</si>
  <si>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</si>
  <si>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</si>
  <si>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</si>
  <si>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</si>
  <si>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</si>
  <si>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</si>
  <si>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</si>
  <si>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</si>
  <si>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</si>
  <si>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</si>
  <si>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</si>
  <si>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</si>
  <si>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</si>
  <si>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</si>
  <si>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</si>
  <si>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</si>
  <si>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</si>
  <si>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</si>
  <si>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</si>
  <si>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</si>
  <si>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</si>
  <si>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</si>
  <si>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</si>
  <si>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</si>
  <si>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</si>
  <si>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</si>
  <si>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</si>
  <si>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</si>
  <si>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</si>
  <si>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</si>
  <si>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</si>
  <si>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</si>
  <si>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</si>
  <si>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</si>
  <si>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</si>
  <si>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</si>
  <si>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</si>
  <si>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</si>
  <si>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</si>
  <si>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</si>
  <si>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</si>
  <si>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</si>
  <si>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</si>
  <si>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</si>
  <si>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</si>
  <si>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</si>
  <si>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</si>
  <si>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</si>
  <si>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</si>
  <si>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</si>
  <si>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</si>
  <si>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</si>
  <si>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</si>
  <si>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</si>
  <si>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</si>
  <si>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</si>
  <si>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</si>
  <si>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</si>
  <si>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</si>
  <si>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</si>
  <si>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</si>
  <si>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Tower Semiconductor LTD.</t>
  </si>
  <si>
    <t>Fab 1 &amp; 2</t>
  </si>
  <si>
    <t>520041997</t>
  </si>
  <si>
    <t>POB 619 Migdal Haemek Israel 23105</t>
  </si>
  <si>
    <t>Moti Amsalem</t>
  </si>
  <si>
    <t>cammmh@towersemi.com</t>
  </si>
  <si>
    <t>972-4-6506259</t>
  </si>
  <si>
    <t>Expert Materials Quality Engineer</t>
  </si>
  <si>
    <t>www.towerjazz.com</t>
  </si>
  <si>
    <t>CID000825</t>
    <phoneticPr fontId="28"/>
  </si>
  <si>
    <t>NO. 300,KEJING SHE, HAICANG</t>
  </si>
  <si>
    <t>1 HAWES STREET</t>
  </si>
  <si>
    <t>Liu (Eric) Renfeng</t>
  </si>
  <si>
    <t>liu.rengfeng@cxtc.com</t>
  </si>
  <si>
    <t>Listed on RMAP Conformant Tungsten Smelter List</t>
  </si>
  <si>
    <t>Karin Laursen</t>
  </si>
  <si>
    <t>karin.laursen@globaltungsten.com</t>
  </si>
  <si>
    <t>Confidential</t>
  </si>
  <si>
    <t>dept1@cniecjx.com</t>
    <phoneticPr fontId="28"/>
  </si>
  <si>
    <t xml:space="preserve"> ON CFS Compliant List</t>
  </si>
  <si>
    <t>Jiangxi Dajichan Tungsten Industry Ltd</t>
    <phoneticPr fontId="28"/>
  </si>
  <si>
    <t>China</t>
    <phoneticPr fontId="28"/>
  </si>
  <si>
    <t>akawaguc@jnm.co.jp</t>
    <phoneticPr fontId="28"/>
  </si>
</sst>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65" xfId="0" applyBorder="1" applyProtection="1">
      <protection locked="0"/>
    </xf>
    <xf numFmtId="0" fontId="0" fillId="0" borderId="65" xfId="0" applyFont="1" applyBorder="1" applyAlignment="1" applyProtection="1">
      <alignment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90" zoomScaleNormal="90"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9" t="str">
        <f ca="1">OFFSET(L!$C$1,MATCH("Declaration"&amp;ADDRESS(ROW(),COLUMN(),4),L!$A:$A,0)-1,SL,,)</f>
        <v>Conflict Minerals Reporting Template (CMRT)</v>
      </c>
      <c r="E2" s="400"/>
      <c r="F2" s="400"/>
      <c r="G2" s="400"/>
      <c r="H2" s="400"/>
      <c r="I2" s="400"/>
      <c r="J2" s="40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9"/>
      <c r="G3" s="409"/>
      <c r="H3" s="409"/>
      <c r="I3" s="186"/>
      <c r="J3" s="172" t="s">
        <v>15472</v>
      </c>
      <c r="K3" s="47"/>
      <c r="L3" s="143"/>
      <c r="M3" s="134"/>
      <c r="N3" s="134"/>
      <c r="O3" s="135"/>
      <c r="P3" s="148">
        <f>MATCH($D$3,LN,0)</f>
        <v>1</v>
      </c>
    </row>
    <row r="4" spans="1:34" ht="15.75">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4" t="str">
        <f ca="1">OFFSET(L!$C$1,MATCH("Declaration"&amp;ADDRESS(ROW(),COLUMN(),4),L!$A:$A,0)-1,SL,,)</f>
        <v>Company Information</v>
      </c>
      <c r="C7" s="414"/>
      <c r="D7" s="414"/>
      <c r="E7" s="414"/>
      <c r="F7" s="414"/>
      <c r="G7" s="414"/>
      <c r="H7" s="414"/>
      <c r="I7" s="414"/>
      <c r="J7" s="414"/>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2" t="s">
        <v>15494</v>
      </c>
      <c r="E8" s="403"/>
      <c r="F8" s="403"/>
      <c r="G8" s="403"/>
      <c r="H8" s="403"/>
      <c r="I8" s="403"/>
      <c r="J8" s="404"/>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1" t="s">
        <v>564</v>
      </c>
      <c r="E9" s="412"/>
      <c r="F9" s="412"/>
      <c r="G9" s="41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5" t="str">
        <f ca="1">OFFSET(L!$C$1,MATCH("Declaration"&amp;ADDRESS(ROW(),COLUMN(),4)&amp;LEFT($D$9,1),L!$A:$A,0)-1,SL,,)</f>
        <v>Description of Scope:</v>
      </c>
      <c r="C10" s="155"/>
      <c r="D10" s="406"/>
      <c r="E10" s="407"/>
      <c r="F10" s="407"/>
      <c r="G10" s="407"/>
      <c r="H10" s="407"/>
      <c r="I10" s="407"/>
      <c r="J10" s="40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6"/>
      <c r="C11" s="155"/>
      <c r="D11" s="422" t="str">
        <f ca="1">IF(D9=Q9,OFFSET(L!$C$1,MATCH("Declaration"&amp;ADDRESS(ROW(),COLUMN(),4),L!$A:$A,0)-1,SL,,),"")</f>
        <v/>
      </c>
      <c r="E11" s="423"/>
      <c r="F11" s="423"/>
      <c r="G11" s="423"/>
      <c r="H11" s="423"/>
      <c r="I11" s="423"/>
      <c r="J11" s="42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t="s">
        <v>15496</v>
      </c>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t="s">
        <v>15495</v>
      </c>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44" t="s">
        <v>15497</v>
      </c>
      <c r="E14" s="445"/>
      <c r="F14" s="445"/>
      <c r="G14" s="445"/>
      <c r="H14" s="445"/>
      <c r="I14" s="445"/>
      <c r="J14" s="446"/>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44" t="s">
        <v>15498</v>
      </c>
      <c r="E15" s="445"/>
      <c r="F15" s="445"/>
      <c r="G15" s="445"/>
      <c r="H15" s="445"/>
      <c r="I15" s="445"/>
      <c r="J15" s="446"/>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7" t="s">
        <v>15499</v>
      </c>
      <c r="E16" s="448"/>
      <c r="F16" s="448"/>
      <c r="G16" s="448"/>
      <c r="H16" s="448"/>
      <c r="I16" s="448"/>
      <c r="J16" s="44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44" t="s">
        <v>15500</v>
      </c>
      <c r="E17" s="445"/>
      <c r="F17" s="445"/>
      <c r="G17" s="445"/>
      <c r="H17" s="445"/>
      <c r="I17" s="445"/>
      <c r="J17" s="446"/>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44" t="s">
        <v>15498</v>
      </c>
      <c r="E18" s="445"/>
      <c r="F18" s="445"/>
      <c r="G18" s="445"/>
      <c r="H18" s="445"/>
      <c r="I18" s="445"/>
      <c r="J18" s="446"/>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44" t="s">
        <v>15501</v>
      </c>
      <c r="E19" s="445"/>
      <c r="F19" s="445"/>
      <c r="G19" s="445"/>
      <c r="H19" s="445"/>
      <c r="I19" s="445"/>
      <c r="J19" s="446"/>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7" t="s">
        <v>15499</v>
      </c>
      <c r="E20" s="448"/>
      <c r="F20" s="448"/>
      <c r="G20" s="448"/>
      <c r="H20" s="448"/>
      <c r="I20" s="448"/>
      <c r="J20" s="44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44" t="s">
        <v>15500</v>
      </c>
      <c r="E21" s="445"/>
      <c r="F21" s="445"/>
      <c r="G21" s="445"/>
      <c r="H21" s="445"/>
      <c r="I21" s="445"/>
      <c r="J21" s="446"/>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43634</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19"/>
      <c r="E23" s="419"/>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0" t="str">
        <f ca="1">OFFSET(L!$C$1,MATCH("Declaration"&amp;ADDRESS(ROW(),COLUMN(),4),L!$A:$A,0)-1,SL,,)</f>
        <v>Answer</v>
      </c>
      <c r="E25" s="420"/>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1"/>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18"/>
      <c r="I37" s="418"/>
      <c r="J37" s="418"/>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559</v>
      </c>
      <c r="E41" s="378"/>
      <c r="F41" s="58"/>
      <c r="G41" s="379"/>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2"/>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82"/>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82"/>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82">
        <v>1</v>
      </c>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17"/>
      <c r="I55" s="417"/>
      <c r="J55" s="417"/>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1"/>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558</v>
      </c>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17" t="str">
        <f>IF(Q69="(*)","Click here to enter smelter names","")</f>
        <v/>
      </c>
      <c r="I61" s="417"/>
      <c r="J61" s="417"/>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1" t="str">
        <f ca="1">OFFSET(L!$C$1,MATCH("Declaration"&amp;ADDRESS(ROW(),COLUMN(),4),L!$A:$A,0)-1,SL,,)</f>
        <v>Answer the Following Questions at a Company Level</v>
      </c>
      <c r="C67" s="431"/>
      <c r="D67" s="431"/>
      <c r="E67" s="431"/>
      <c r="F67" s="431"/>
      <c r="G67" s="431"/>
      <c r="H67" s="431"/>
      <c r="I67" s="431"/>
      <c r="J67" s="431"/>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0" t="str">
        <f ca="1">D25</f>
        <v>Answer</v>
      </c>
      <c r="E68" s="420"/>
      <c r="F68" s="64"/>
      <c r="G68" s="420" t="str">
        <f ca="1">G25</f>
        <v>Comments</v>
      </c>
      <c r="H68" s="420" t="e">
        <f>HLOOKUP(SL,LT,$O68,0)</f>
        <v>#NAME?</v>
      </c>
      <c r="I68" s="420"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1"/>
      <c r="H70" s="421"/>
      <c r="I70" s="421"/>
      <c r="J70" s="421"/>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393" t="s">
        <v>15502</v>
      </c>
      <c r="H71" s="394"/>
      <c r="I71" s="394"/>
      <c r="J71" s="39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28" t="s">
        <v>13311</v>
      </c>
      <c r="E79" s="429"/>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1"/>
      <c r="H80" s="421"/>
      <c r="I80" s="421"/>
      <c r="J80" s="421"/>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0"/>
      <c r="H82" s="430"/>
      <c r="I82" s="430"/>
      <c r="J82" s="430"/>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27" t="str">
        <f>IF(OR($D$8="",$I$3=""),"","Click here to check required fields completion")</f>
        <v/>
      </c>
      <c r="C86" s="427"/>
      <c r="D86" s="427"/>
      <c r="E86" s="427"/>
      <c r="F86" s="427"/>
      <c r="G86" s="427"/>
      <c r="H86" s="427"/>
      <c r="I86" s="427"/>
      <c r="J86" s="427"/>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25" t="str">
        <f ca="1">OFFSET(L!$C$1,MATCH("General"&amp;"Cpy",L!$A:$A,0)-1,SL,,)</f>
        <v>© 2019 Responsible Minerals Initiative. All rights reserved.</v>
      </c>
      <c r="B87" s="426"/>
      <c r="C87" s="426"/>
      <c r="D87" s="426"/>
      <c r="E87" s="426"/>
      <c r="F87" s="426"/>
      <c r="G87" s="426"/>
      <c r="H87" s="426"/>
      <c r="I87" s="426"/>
      <c r="J87" s="426"/>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04" priority="58" stopIfTrue="1">
      <formula>AND(OR($D$26="No",AND($D$26="Yes",$D$32="No")),OR($D$27="No",AND($D$27="Yes",$D$33="No")), OR($D$28="No",AND($D$28="Yes",$D$34="No")), OR($D$29="No",AND($D$29="Yes",$D$35="No")))</formula>
    </cfRule>
    <cfRule type="expression" dxfId="103" priority="59" stopIfTrue="1">
      <formula>IF(D69="",TRUE)</formula>
    </cfRule>
  </conditionalFormatting>
  <conditionalFormatting sqref="D26:E26">
    <cfRule type="expression" dxfId="101" priority="110" stopIfTrue="1">
      <formula>IF($D$26="",TRUE)</formula>
    </cfRule>
  </conditionalFormatting>
  <conditionalFormatting sqref="D27:E27">
    <cfRule type="expression" dxfId="100" priority="117" stopIfTrue="1">
      <formula>IF($D$27="",TRUE)</formula>
    </cfRule>
  </conditionalFormatting>
  <conditionalFormatting sqref="D28:E28">
    <cfRule type="expression" dxfId="99" priority="118" stopIfTrue="1">
      <formula>IF($D$28="",TRUE)</formula>
    </cfRule>
  </conditionalFormatting>
  <conditionalFormatting sqref="D29:E29">
    <cfRule type="expression" dxfId="98" priority="119" stopIfTrue="1">
      <formula>IF($D$29="",TRUE)</formula>
    </cfRule>
  </conditionalFormatting>
  <conditionalFormatting sqref="D8:J8">
    <cfRule type="expression" dxfId="97" priority="124" stopIfTrue="1">
      <formula>IF($D$8="",TRUE)</formula>
    </cfRule>
  </conditionalFormatting>
  <conditionalFormatting sqref="D9:G9">
    <cfRule type="expression" dxfId="96" priority="125" stopIfTrue="1">
      <formula>IF($D$9="",TRUE)</formula>
    </cfRule>
  </conditionalFormatting>
  <conditionalFormatting sqref="D22:E22">
    <cfRule type="expression" dxfId="91" priority="132" stopIfTrue="1">
      <formula>IF($D$22="",TRUE)</formula>
    </cfRule>
  </conditionalFormatting>
  <conditionalFormatting sqref="D10:J10">
    <cfRule type="expression" dxfId="90" priority="29" stopIfTrue="1">
      <formula>IF($D$9=$Q$9,TRUE)</formula>
    </cfRule>
    <cfRule type="expression" dxfId="89" priority="139" stopIfTrue="1">
      <formula>IF(AND($D$10="",$D$9=$R$9),TRUE)</formula>
    </cfRule>
  </conditionalFormatting>
  <conditionalFormatting sqref="D34:E34 D40:E40 D46:E46 D52:E52 D58:E58 D64:E64">
    <cfRule type="expression" dxfId="88" priority="22" stopIfTrue="1">
      <formula>$P$28=""</formula>
    </cfRule>
  </conditionalFormatting>
  <conditionalFormatting sqref="D35:E35 D41:E41 D47:E47 D53:E53 D59:E59 D65:E65">
    <cfRule type="expression" dxfId="87" priority="137" stopIfTrue="1">
      <formula>$P$29=""</formula>
    </cfRule>
  </conditionalFormatting>
  <conditionalFormatting sqref="D32:E32">
    <cfRule type="expression" dxfId="86" priority="115" stopIfTrue="1">
      <formula>$P$26=""</formula>
    </cfRule>
  </conditionalFormatting>
  <conditionalFormatting sqref="D32:E32">
    <cfRule type="expression" dxfId="85" priority="28" stopIfTrue="1">
      <formula>IF(AND(OR($D$26="Yes",$D$26=""),$D$32=""),1,0)</formula>
    </cfRule>
  </conditionalFormatting>
  <conditionalFormatting sqref="D38 D44 D50 D56 D62">
    <cfRule type="expression" dxfId="84" priority="24" stopIfTrue="1">
      <formula>$P$32=""</formula>
    </cfRule>
  </conditionalFormatting>
  <conditionalFormatting sqref="D39:E39 D45 D51 D57 D63">
    <cfRule type="expression" dxfId="83" priority="23" stopIfTrue="1">
      <formula>$P$33=""</formula>
    </cfRule>
  </conditionalFormatting>
  <conditionalFormatting sqref="D40 D46 D52 D58 D64">
    <cfRule type="expression" dxfId="82" priority="13" stopIfTrue="1">
      <formula>$P$34=""</formula>
    </cfRule>
    <cfRule type="expression" dxfId="81" priority="135" stopIfTrue="1">
      <formula>IF(AND(OR($D$28="Yes",$D$28=""),D40=""),1,0)</formula>
    </cfRule>
  </conditionalFormatting>
  <conditionalFormatting sqref="D41 D47 D53 D59 D65">
    <cfRule type="expression" dxfId="80" priority="21" stopIfTrue="1">
      <formula>$P$35=""</formula>
    </cfRule>
  </conditionalFormatting>
  <conditionalFormatting sqref="D38:E38 D44:E44 D50:E50 D56:E56 D62:E62">
    <cfRule type="expression" dxfId="79" priority="26" stopIfTrue="1">
      <formula>$P$26=""</formula>
    </cfRule>
    <cfRule type="expression" dxfId="78" priority="27" stopIfTrue="1">
      <formula>IF(AND(OR($D$26="Yes",$D$26=""),D38=""),1,0)</formula>
    </cfRule>
  </conditionalFormatting>
  <conditionalFormatting sqref="G79:J79">
    <cfRule type="expression" dxfId="77" priority="20" stopIfTrue="1">
      <formula>IF(AND($D$79="Yes, using other format (describe)",$G$79=""),TRUE)</formula>
    </cfRule>
  </conditionalFormatting>
  <conditionalFormatting sqref="D39:E39 D45:E45 D51:E51 D57:E57 D63:E63">
    <cfRule type="expression" dxfId="76" priority="133" stopIfTrue="1">
      <formula>$P$39=""</formula>
    </cfRule>
    <cfRule type="expression" dxfId="75" priority="134" stopIfTrue="1">
      <formula>IF(AND(OR($D$27="Yes",$D$27=""),D39=""),1,0)</formula>
    </cfRule>
  </conditionalFormatting>
  <conditionalFormatting sqref="D33:E33">
    <cfRule type="expression" dxfId="74" priority="15" stopIfTrue="1">
      <formula>IF(AND(OR($D$27="Yes",$D$27=""),$D$33=""),1,0)</formula>
    </cfRule>
    <cfRule type="expression" dxfId="73" priority="16" stopIfTrue="1">
      <formula>$P$27=""</formula>
    </cfRule>
  </conditionalFormatting>
  <conditionalFormatting sqref="D34:E34">
    <cfRule type="expression" dxfId="72" priority="136" stopIfTrue="1">
      <formula>IF(AND(OR($D$28="Yes",$D$28=""),$D$34=""),1,0)</formula>
    </cfRule>
  </conditionalFormatting>
  <conditionalFormatting sqref="D41:E41 D47:E47 D53:E53 D59:E59 D65:E65">
    <cfRule type="expression" dxfId="71" priority="138" stopIfTrue="1">
      <formula>IF(AND(OR($D$29="Yes",$D$29=""),D41=""),1,0)</formula>
    </cfRule>
  </conditionalFormatting>
  <conditionalFormatting sqref="D35:E35">
    <cfRule type="expression" dxfId="70" priority="12" stopIfTrue="1">
      <formula>IF(AND(OR($D$29="Yes",$D$29=""),$D$35=""),1,0)</formula>
    </cfRule>
  </conditionalFormatting>
  <conditionalFormatting sqref="D15:J15">
    <cfRule type="expression" dxfId="23" priority="4" stopIfTrue="1">
      <formula>IF($D$15="",TRUE)</formula>
    </cfRule>
  </conditionalFormatting>
  <conditionalFormatting sqref="D16:J16">
    <cfRule type="expression" dxfId="21" priority="5" stopIfTrue="1">
      <formula>IF($D$16="",TRUE)</formula>
    </cfRule>
  </conditionalFormatting>
  <conditionalFormatting sqref="D17:J17">
    <cfRule type="expression" dxfId="19" priority="6" stopIfTrue="1">
      <formula>IF($D$17="",TRUE)</formula>
    </cfRule>
  </conditionalFormatting>
  <conditionalFormatting sqref="D18:J18">
    <cfRule type="expression" dxfId="17" priority="7" stopIfTrue="1">
      <formula>IF($D$18="",TRUE)</formula>
    </cfRule>
  </conditionalFormatting>
  <conditionalFormatting sqref="D20:J20">
    <cfRule type="expression" dxfId="15" priority="2" stopIfTrue="1">
      <formula>IF($D$20="",TRUE)</formula>
    </cfRule>
  </conditionalFormatting>
  <conditionalFormatting sqref="D21:J21">
    <cfRule type="expression" dxfId="13" priority="3" stopIfTrue="1">
      <formula>IF($D$21="",TRUE)</formula>
    </cfRule>
  </conditionalFormatting>
  <conditionalFormatting sqref="G71:J71">
    <cfRule type="expression" dxfId="11"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4" zoomScale="70" zoomScaleNormal="70" zoomScalePageLayoutView="55" workbookViewId="0">
      <selection activeCell="M14" sqref="M14"/>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2" t="str">
        <f ca="1">OFFSET(L!$C$1,MATCH("Smelter List"&amp;ADDRESS(ROW(),COLUMN(),4),L!$A:$A,0)-1,SL,,)</f>
        <v>Link to "RMAP Conformant Smelter List"</v>
      </c>
      <c r="K2" s="433"/>
      <c r="L2" s="433"/>
      <c r="M2" s="433"/>
      <c r="N2" s="433"/>
      <c r="O2" s="433"/>
      <c r="P2" s="232"/>
      <c r="Q2" s="233"/>
      <c r="R2" s="234"/>
      <c r="S2" s="234"/>
      <c r="T2" s="234"/>
      <c r="U2" s="261"/>
      <c r="V2" s="261"/>
      <c r="W2" s="262"/>
      <c r="X2" s="261"/>
      <c r="Y2" s="261"/>
      <c r="Z2" s="261"/>
      <c r="AH2" s="178" t="s">
        <v>558</v>
      </c>
    </row>
    <row r="3" spans="1:34" s="263" customFormat="1" ht="255.6" customHeight="1">
      <c r="A3" s="204"/>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64"/>
      <c r="G3" s="435" t="str">
        <f ca="1">OFFSET(L!$C$1,MATCH("General"&amp;"Cpy",L!$A:$A,0)-1,SL,,)</f>
        <v>© 2019 Responsible Minerals Initiative. All rights reserved.</v>
      </c>
      <c r="H3" s="435"/>
      <c r="I3" s="436"/>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63.75">
      <c r="A5" s="216" t="s">
        <v>913</v>
      </c>
      <c r="B5" s="216" t="str">
        <f ca="1">IF(LEN(A5)=0,"",INDEX('Smelter Look-up'!$A:$A,MATCH($A5,'Smelter Look-up'!$E:$E,0)))</f>
        <v>Tungsten</v>
      </c>
      <c r="C5" s="220" t="str">
        <f ca="1">IF(LEN(A5)=0,"",INDEX('Smelter Look-up'!$C:$C,MATCH($A5,'Smelter Look-up'!$E:$E,0)))</f>
        <v>Xiamen Tungsten Co., Ltd.</v>
      </c>
      <c r="D5" s="220" t="s">
        <v>1515</v>
      </c>
      <c r="E5" s="216" t="str">
        <f ca="1">IF(ISERROR($V5),"",OFFSET('Smelter Look-up'!$D$4,$V5-4,0)&amp;"")</f>
        <v>CHINA</v>
      </c>
      <c r="F5" s="216" t="str">
        <f ca="1">IF(ISERROR($V5),"",OFFSET('Smelter Look-up'!$E$4,$V5-4,0))</f>
        <v>CID002082</v>
      </c>
      <c r="G5" s="216" t="str">
        <f ca="1">IF(C5=$X$4,"Enter smelter details", IF(ISERROR($V5),"",OFFSET('Smelter Look-up'!$F$4,$V5-4,0)))</f>
        <v>RMI</v>
      </c>
      <c r="H5" s="217" t="s">
        <v>15504</v>
      </c>
      <c r="I5" s="218" t="str">
        <f ca="1">IF(ISERROR($V5),"",OFFSET('Smelter Look-up'!$H$4,$V5-4,0))</f>
        <v>Xiamen</v>
      </c>
      <c r="J5" s="218" t="str">
        <f ca="1">IF(ISERROR($V5),"",OFFSET('Smelter Look-up'!$I$4,$V5-4,0))</f>
        <v>Fujian Sheng</v>
      </c>
      <c r="K5" s="450" t="s">
        <v>15506</v>
      </c>
      <c r="L5" s="450" t="s">
        <v>15507</v>
      </c>
      <c r="M5" s="450" t="s">
        <v>2985</v>
      </c>
      <c r="N5" s="450" t="s">
        <v>2985</v>
      </c>
      <c r="O5" s="450" t="s">
        <v>2985</v>
      </c>
      <c r="P5" s="219" t="s">
        <v>559</v>
      </c>
      <c r="Q5" s="451" t="s">
        <v>15508</v>
      </c>
      <c r="R5" s="216" t="str">
        <f ca="1">IF(ISERROR($V5),"",OFFSET('Smelter Look-up'!$C$4,$V5-4,0)&amp;"")</f>
        <v>Xiamen Tungsten Co., Ltd.</v>
      </c>
      <c r="S5" s="224" t="str">
        <f t="shared" ref="S5:S68" ca="1" si="0">IF(B5="","",IF(ISERROR(MATCH($E5,CL,0)),"Unknown",INDIRECT("'C'!$A$"&amp;MATCH($E5,CL,0)+1)))</f>
        <v>CN</v>
      </c>
      <c r="T5" s="224" t="str">
        <f ca="1">IF(B5="","",IF(ISERROR(MATCH($J5,SorP!$B$1:$B$6230,0)),"",INDIRECT("'SorP'!$A$"&amp;MATCH($J5,SorP!$B$1:$B$6230,0))))</f>
        <v>CN-FJ</v>
      </c>
      <c r="U5" s="239"/>
      <c r="V5" s="269">
        <f ca="1">IF(C5="",NA(),MATCH($B5&amp;$C5,'Smelter Look-up'!$J:$J,0))</f>
        <v>582</v>
      </c>
      <c r="W5" s="270"/>
      <c r="X5" s="270">
        <f t="shared" ref="X5:X68" ca="1" si="1">IF(AND(C5="Smelter not listed",OR(LEN(D5)=0,LEN(E5)=0)),1,0)</f>
        <v>0</v>
      </c>
      <c r="Y5" s="270"/>
      <c r="Z5" s="270"/>
      <c r="AB5" s="272" t="str">
        <f t="shared" ref="AB5:AB68" ca="1" si="2">B5&amp;C5</f>
        <v>TungstenXiamen Tungsten Co., Ltd.</v>
      </c>
    </row>
    <row r="6" spans="1:34" s="271" customFormat="1" ht="76.5">
      <c r="A6" s="215" t="s">
        <v>905</v>
      </c>
      <c r="B6" s="216" t="str">
        <f ca="1">IF(LEN(A6)=0,"",INDEX('Smelter Look-up'!$A:$A,MATCH($A6,'Smelter Look-up'!$E:$E,0)))</f>
        <v>Tungsten</v>
      </c>
      <c r="C6" s="220" t="str">
        <f ca="1">IF(LEN(A6)=0,"",INDEX('Smelter Look-up'!$C:$C,MATCH($A6,'Smelter Look-up'!$E:$E,0)))</f>
        <v>Global Tungsten &amp; Powders Corp.</v>
      </c>
      <c r="D6" s="220" t="s">
        <v>1</v>
      </c>
      <c r="E6" s="216" t="str">
        <f ca="1">IF(ISERROR($V6),"",OFFSET('Smelter Look-up'!$D$4,$V6-4,0)&amp;"")</f>
        <v>UNITED STATES OF AMERICA</v>
      </c>
      <c r="F6" s="216" t="str">
        <f ca="1">IF(ISERROR($V6),"",OFFSET('Smelter Look-up'!$E$4,$V6-4,0))</f>
        <v>CID000568</v>
      </c>
      <c r="G6" s="216" t="str">
        <f ca="1">IF(C6=$X$4,"Enter smelter details", IF(ISERROR($V6),"",OFFSET('Smelter Look-up'!$F$4,$V6-4,0)))</f>
        <v>RMI</v>
      </c>
      <c r="H6" s="217" t="s">
        <v>15505</v>
      </c>
      <c r="I6" s="218" t="str">
        <f ca="1">IF(ISERROR($V6),"",OFFSET('Smelter Look-up'!$H$4,$V6-4,0))</f>
        <v>Towanda</v>
      </c>
      <c r="J6" s="218" t="str">
        <f ca="1">IF(ISERROR($V6),"",OFFSET('Smelter Look-up'!$I$4,$V6-4,0))</f>
        <v>Pennsylvania</v>
      </c>
      <c r="K6" s="450" t="s">
        <v>15509</v>
      </c>
      <c r="L6" s="450" t="s">
        <v>15510</v>
      </c>
      <c r="M6" s="450" t="s">
        <v>2985</v>
      </c>
      <c r="N6" s="450" t="s">
        <v>15511</v>
      </c>
      <c r="O6" s="450" t="s">
        <v>15511</v>
      </c>
      <c r="P6" s="219" t="s">
        <v>559</v>
      </c>
      <c r="Q6" s="451" t="s">
        <v>15508</v>
      </c>
      <c r="R6" s="216" t="str">
        <f ca="1">IF(ISERROR($V6),"",OFFSET('Smelter Look-up'!$C$4,$V6-4,0)&amp;"")</f>
        <v>Global Tungsten &amp; Powders Corp.</v>
      </c>
      <c r="S6" s="224" t="str">
        <f t="shared" ca="1" si="0"/>
        <v>US</v>
      </c>
      <c r="T6" s="224" t="str">
        <f ca="1">IF(B6="","",IF(ISERROR(MATCH($J6,SorP!$B$1:$B$6230,0)),"",INDIRECT("'SorP'!$A$"&amp;MATCH($J6,SorP!$B$1:$B$6230,0))))</f>
        <v>US-PA</v>
      </c>
      <c r="U6" s="239"/>
      <c r="V6" s="269">
        <f ca="1">IF(C6="",NA(),MATCH($B6&amp;$C6,'Smelter Look-up'!$J:$J,0))</f>
        <v>537</v>
      </c>
      <c r="W6" s="270"/>
      <c r="X6" s="270">
        <f t="shared" ca="1" si="1"/>
        <v>0</v>
      </c>
      <c r="Y6" s="270"/>
      <c r="Z6" s="270"/>
      <c r="AB6" s="272" t="str">
        <f t="shared" ca="1" si="2"/>
        <v>TungstenGlobal Tungsten &amp; Powders Corp.</v>
      </c>
    </row>
    <row r="7" spans="1:34" s="271" customFormat="1" ht="114.75">
      <c r="A7" s="215" t="s">
        <v>909</v>
      </c>
      <c r="B7" s="216" t="str">
        <f ca="1">IF(LEN(A7)=0,"",INDEX('Smelter Look-up'!$A:$A,MATCH($A7,'Smelter Look-up'!$E:$E,0)))</f>
        <v>Tungsten</v>
      </c>
      <c r="C7" s="220" t="str">
        <f ca="1">IF(LEN(A7)=0,"",INDEX('Smelter Look-up'!$C:$C,MATCH($A7,'Smelter Look-up'!$E:$E,0)))</f>
        <v>Ganzhou Huaxing Tungsten Products Co., Ltd.</v>
      </c>
      <c r="D7" s="220" t="s">
        <v>159</v>
      </c>
      <c r="E7" s="216" t="str">
        <f ca="1">IF(ISERROR($V7),"",OFFSET('Smelter Look-up'!$D$4,$V7-4,0)&amp;"")</f>
        <v>CHINA</v>
      </c>
      <c r="F7" s="216" t="str">
        <f ca="1">IF(ISERROR($V7),"",OFFSET('Smelter Look-up'!$E$4,$V7-4,0))</f>
        <v>CID000875</v>
      </c>
      <c r="G7" s="216" t="str">
        <f ca="1">IF(C7=$X$4,"Enter smelter details", IF(ISERROR($V7),"",OFFSET('Smelter Look-up'!$F$4,$V7-4,0)))</f>
        <v>RMI</v>
      </c>
      <c r="H7" s="217">
        <f ca="1">IF(ISERROR($V7),"",OFFSET('Smelter Look-up'!$G$4,$V7-4,0))</f>
        <v>0</v>
      </c>
      <c r="I7" s="218" t="str">
        <f ca="1">IF(ISERROR($V7),"",OFFSET('Smelter Look-up'!$H$4,$V7-4,0))</f>
        <v>Ganzhou</v>
      </c>
      <c r="J7" s="218" t="str">
        <f ca="1">IF(ISERROR($V7),"",OFFSET('Smelter Look-up'!$I$4,$V7-4,0))</f>
        <v>Jiangxi Sheng</v>
      </c>
      <c r="K7" s="450" t="s">
        <v>15512</v>
      </c>
      <c r="L7" s="219" t="s">
        <v>15513</v>
      </c>
      <c r="M7" s="452" t="s">
        <v>15514</v>
      </c>
      <c r="N7" s="452" t="s">
        <v>15515</v>
      </c>
      <c r="O7" s="219"/>
      <c r="P7" s="451" t="s">
        <v>559</v>
      </c>
      <c r="Q7" s="451"/>
      <c r="R7" s="216" t="str">
        <f ca="1">IF(ISERROR($V7),"",OFFSET('Smelter Look-up'!$C$4,$V7-4,0)&amp;"")</f>
        <v>Ganzhou Huaxing Tungsten Products Co., Ltd.</v>
      </c>
      <c r="S7" s="224" t="str">
        <f t="shared" ca="1" si="0"/>
        <v>CN</v>
      </c>
      <c r="T7" s="224" t="str">
        <f ca="1">IF(B7="","",IF(ISERROR(MATCH($J7,SorP!$B$1:$B$6230,0)),"",INDIRECT("'SorP'!$A$"&amp;MATCH($J7,SorP!$B$1:$B$6230,0))))</f>
        <v>CN-JX</v>
      </c>
      <c r="U7" s="239"/>
      <c r="V7" s="269">
        <f ca="1">IF(C7="",NA(),MATCH($B7&amp;$C7,'Smelter Look-up'!$J:$J,0))</f>
        <v>534</v>
      </c>
      <c r="W7" s="270"/>
      <c r="X7" s="270">
        <f t="shared" ca="1" si="1"/>
        <v>0</v>
      </c>
      <c r="Y7" s="270"/>
      <c r="Z7" s="270"/>
      <c r="AB7" s="272" t="str">
        <f t="shared" ca="1" si="2"/>
        <v>TungstenGanzhou Huaxing Tungsten Products Co., Ltd.</v>
      </c>
    </row>
    <row r="8" spans="1:34" s="271" customFormat="1" ht="76.5">
      <c r="A8" s="215" t="s">
        <v>15503</v>
      </c>
      <c r="B8" s="216" t="str">
        <f ca="1">IF(LEN(A8)=0,"",INDEX('Smelter Look-up'!$A:$A,MATCH($A8,'Smelter Look-up'!$E:$E,0)))</f>
        <v>Tungsten</v>
      </c>
      <c r="C8" s="220" t="str">
        <f ca="1">IF(LEN(A8)=0,"",INDEX('Smelter Look-up'!$C:$C,MATCH($A8,'Smelter Look-up'!$E:$E,0)))</f>
        <v>Japan New Metals Co., Ltd.</v>
      </c>
      <c r="D8" s="220" t="s">
        <v>1514</v>
      </c>
      <c r="E8" s="216" t="str">
        <f ca="1">IF(ISERROR($V8),"",OFFSET('Smelter Look-up'!$D$4,$V8-4,0)&amp;"")</f>
        <v>JAPAN</v>
      </c>
      <c r="F8" s="216" t="str">
        <f ca="1">IF(ISERROR($V8),"",OFFSET('Smelter Look-up'!$E$4,$V8-4,0))</f>
        <v>CID000825</v>
      </c>
      <c r="G8" s="216" t="str">
        <f ca="1">IF(C8=$X$4,"Enter smelter details", IF(ISERROR($V8),"",OFFSET('Smelter Look-up'!$F$4,$V8-4,0)))</f>
        <v>RMI</v>
      </c>
      <c r="H8" s="217">
        <f ca="1">IF(ISERROR($V8),"",OFFSET('Smelter Look-up'!$G$4,$V8-4,0))</f>
        <v>0</v>
      </c>
      <c r="I8" s="218" t="str">
        <f ca="1">IF(ISERROR($V8),"",OFFSET('Smelter Look-up'!$H$4,$V8-4,0))</f>
        <v>Akita City</v>
      </c>
      <c r="J8" s="218" t="str">
        <f ca="1">IF(ISERROR($V8),"",OFFSET('Smelter Look-up'!$I$4,$V8-4,0))</f>
        <v>Akita</v>
      </c>
      <c r="K8" s="450" t="s">
        <v>15516</v>
      </c>
      <c r="L8" s="219" t="s">
        <v>15513</v>
      </c>
      <c r="M8" s="453"/>
      <c r="N8" s="453"/>
      <c r="O8" s="219"/>
      <c r="P8" s="451" t="s">
        <v>559</v>
      </c>
      <c r="Q8" s="451"/>
      <c r="R8" s="216" t="str">
        <f ca="1">IF(ISERROR($V8),"",OFFSET('Smelter Look-up'!$C$4,$V8-4,0)&amp;"")</f>
        <v>Japan New Metals Co., Ltd.</v>
      </c>
      <c r="S8" s="224" t="str">
        <f t="shared" ca="1" si="0"/>
        <v>JP</v>
      </c>
      <c r="T8" s="224" t="str">
        <f ca="1">IF(B8="","",IF(ISERROR(MATCH($J8,SorP!$B$1:$B$6230,0)),"",INDIRECT("'SorP'!$A$"&amp;MATCH($J8,SorP!$B$1:$B$6230,0))))</f>
        <v>JP-05</v>
      </c>
      <c r="U8" s="239"/>
      <c r="V8" s="269">
        <f ca="1">IF(C8="",NA(),MATCH($B8&amp;$C8,'Smelter Look-up'!$J:$J,0))</f>
        <v>550</v>
      </c>
      <c r="W8" s="270"/>
      <c r="X8" s="270">
        <f t="shared" ca="1" si="1"/>
        <v>0</v>
      </c>
      <c r="Y8" s="270"/>
      <c r="Z8" s="270"/>
      <c r="AB8" s="272" t="str">
        <f t="shared" ca="1" si="2"/>
        <v>TungstenJapan New Metals Co., Ltd.</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67" priority="33" stopIfTrue="1">
      <formula>IF(B586="",TRUE)</formula>
    </cfRule>
    <cfRule type="expression" dxfId="66" priority="44" stopIfTrue="1">
      <formula>IF(AND(COUNTIF(MetalSmelter,B586&amp;C586)=0,LEN(C586)&gt;0), TRUE, FALSE)</formula>
    </cfRule>
  </conditionalFormatting>
  <conditionalFormatting sqref="D586:D2493">
    <cfRule type="expression" dxfId="65" priority="27" stopIfTrue="1">
      <formula>IF(AND(LEN($C586) &gt;0, ($C586 &lt;&gt; "Smelter Not Listed")),1,0)</formula>
    </cfRule>
    <cfRule type="expression" dxfId="64" priority="52" stopIfTrue="1">
      <formula>IF(AND(D586="",$C586=$X$4),TRUE)</formula>
    </cfRule>
    <cfRule type="expression" dxfId="63" priority="53" stopIfTrue="1">
      <formula>IF(FIND("!",D586),TRUE)</formula>
    </cfRule>
  </conditionalFormatting>
  <conditionalFormatting sqref="G586:G2493">
    <cfRule type="expression" dxfId="62" priority="54" stopIfTrue="1">
      <formula>IF(FIND("Enter smelter details",G586),TRUE)</formula>
    </cfRule>
  </conditionalFormatting>
  <conditionalFormatting sqref="R586:R2494 E586:E2493">
    <cfRule type="expression" dxfId="61" priority="40" stopIfTrue="1">
      <formula>IF(AND(E586="",$C586=$X$4),TRUE)</formula>
    </cfRule>
    <cfRule type="expression" dxfId="60" priority="41" stopIfTrue="1">
      <formula>IF(FIND("!",E586),TRUE)</formula>
    </cfRule>
  </conditionalFormatting>
  <conditionalFormatting sqref="F586:F2493">
    <cfRule type="expression" dxfId="59" priority="31" stopIfTrue="1">
      <formula>IF(AND(LEN($A586)&gt;0,$A586&lt;&gt;$F586),TRUE,FALSE)</formula>
    </cfRule>
  </conditionalFormatting>
  <conditionalFormatting sqref="C586:C2493">
    <cfRule type="expression" dxfId="58" priority="30" stopIfTrue="1">
      <formula>IF(AND(B586&lt;&gt;"",C586=""),TRUE)</formula>
    </cfRule>
  </conditionalFormatting>
  <conditionalFormatting sqref="B5:B585">
    <cfRule type="expression" dxfId="57" priority="9" stopIfTrue="1">
      <formula>IF(B5="",TRUE)</formula>
    </cfRule>
    <cfRule type="expression" dxfId="56" priority="12" stopIfTrue="1">
      <formula>IF(AND(COUNTIF(MetalSmelter,B5&amp;C5)=0,LEN(C5)&gt;0), TRUE, FALSE)</formula>
    </cfRule>
  </conditionalFormatting>
  <conditionalFormatting sqref="D9:D585">
    <cfRule type="expression" dxfId="55" priority="6" stopIfTrue="1">
      <formula>IF(AND(LEN($C9) &gt;0, ($C9 &lt;&gt; "Smelter Not Listed")),1,0)</formula>
    </cfRule>
    <cfRule type="expression" dxfId="54" priority="13" stopIfTrue="1">
      <formula>IF(AND(D9="",$C9=$X$4),TRUE)</formula>
    </cfRule>
    <cfRule type="expression" dxfId="53" priority="14" stopIfTrue="1">
      <formula>IF(FIND("!",D9),TRUE)</formula>
    </cfRule>
  </conditionalFormatting>
  <conditionalFormatting sqref="G5:G585">
    <cfRule type="expression" dxfId="52" priority="15" stopIfTrue="1">
      <formula>IF(FIND("Enter smelter details",G5),TRUE)</formula>
    </cfRule>
  </conditionalFormatting>
  <conditionalFormatting sqref="R5:R585 E5:E585">
    <cfRule type="expression" dxfId="51" priority="10" stopIfTrue="1">
      <formula>IF(AND(E5="",$C5=$X$4),TRUE)</formula>
    </cfRule>
    <cfRule type="expression" dxfId="50" priority="11" stopIfTrue="1">
      <formula>IF(FIND("!",E5),TRUE)</formula>
    </cfRule>
  </conditionalFormatting>
  <conditionalFormatting sqref="F5:F585">
    <cfRule type="expression" dxfId="49" priority="8" stopIfTrue="1">
      <formula>IF(AND(LEN($A5)&gt;0,$A5&lt;&gt;$F5),TRUE,FALSE)</formula>
    </cfRule>
  </conditionalFormatting>
  <conditionalFormatting sqref="C5:C585">
    <cfRule type="expression" dxfId="48" priority="7" stopIfTrue="1">
      <formula>IF(AND(B5&lt;&gt;"",C5=""),TRUE)</formula>
    </cfRule>
  </conditionalFormatting>
  <conditionalFormatting sqref="A5">
    <cfRule type="expression" dxfId="9" priority="5" stopIfTrue="1">
      <formula>IF(AND(LEN($A5)&gt;0,$A5&lt;&gt;$F5),TRUE,FALSE)</formula>
    </cfRule>
  </conditionalFormatting>
  <conditionalFormatting sqref="D5">
    <cfRule type="expression" dxfId="7" priority="4" stopIfTrue="1">
      <formula>IF(AND(C5&lt;&gt;"",D5=""),TRUE)</formula>
    </cfRule>
  </conditionalFormatting>
  <conditionalFormatting sqref="D6">
    <cfRule type="expression" dxfId="5" priority="3" stopIfTrue="1">
      <formula>IF(AND(C6&lt;&gt;"",D6=""),TRUE)</formula>
    </cfRule>
  </conditionalFormatting>
  <conditionalFormatting sqref="D7">
    <cfRule type="expression" dxfId="3" priority="2" stopIfTrue="1">
      <formula>IF(AND(C7&lt;&gt;"",D7=""),TRUE)</formula>
    </cfRule>
  </conditionalFormatting>
  <conditionalFormatting sqref="D8">
    <cfRule type="expression" dxfId="1" priority="1" stopIfTrue="1">
      <formula>IF(AND(C8&lt;&gt;"",D8=""),TRUE)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7" t="str">
        <f ca="1">OFFSET(L!$C$1,MATCH("Checker"&amp;ADDRESS(ROW(),COLUMN(),4),L!$A:$A,0)-1,SL,,)</f>
        <v>To ensure all required fields have been populated before submitting to your customers review form for any line items highlighted in red</v>
      </c>
      <c r="B1" s="437"/>
      <c r="C1" s="437"/>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8.25">
      <c r="A4" s="106" t="str">
        <f ca="1">Declaration!B8</f>
        <v>Company Name (*):</v>
      </c>
      <c r="B4" s="105" t="str">
        <f>Declaration!D8</f>
        <v>Tower Semiconductor LTD.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8.25">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8.25">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8.25">
      <c r="A7" s="106" t="str">
        <f ca="1">Declaration!B15</f>
        <v>Contact Name (*):</v>
      </c>
      <c r="B7" s="105" t="str">
        <f>Declaration!D15</f>
        <v>Moti Amsalem</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8.25">
      <c r="A8" s="106" t="str">
        <f ca="1">Declaration!B16</f>
        <v>Email – Contact (*):</v>
      </c>
      <c r="B8" s="105" t="str">
        <f>Declaration!D16</f>
        <v>cammmh@towersemi.com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8.25">
      <c r="A9" s="106" t="str">
        <f ca="1">Declaration!B17</f>
        <v>Phone – Contact (*):</v>
      </c>
      <c r="B9" s="105" t="str">
        <f>Declaration!D17</f>
        <v>972-4-6506259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8.25">
      <c r="A10" s="106" t="str">
        <f ca="1">Declaration!B18</f>
        <v>Authorizer (*):</v>
      </c>
      <c r="B10" s="105" t="str">
        <f>Declaration!D18</f>
        <v>Moti Amsalem</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8.25">
      <c r="A11" s="106" t="str">
        <f ca="1">Declaration!B20</f>
        <v>Email - Authorizer (*):</v>
      </c>
      <c r="B11" s="105" t="str">
        <f>Declaration!D20</f>
        <v>cammmh@towersemi.com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8.25">
      <c r="A12" s="106" t="str">
        <f ca="1">Declaration!B21</f>
        <v>Phone - Authorizer (*):</v>
      </c>
      <c r="B12" s="105" t="str">
        <f>Declaration!D21</f>
        <v>972-4-6506259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8.25">
      <c r="A13" s="106" t="str">
        <f ca="1">Declaration!B22</f>
        <v>Effective Date (*):</v>
      </c>
      <c r="B13" s="107">
        <f>Declaration!D22</f>
        <v>43634</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5.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8.25">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8.25">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8.25">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8.25">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8.25">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8.25">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8.25">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5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8.25">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8.25">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8.25">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8.25">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5.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5.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5.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5.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8.25">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8.25">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8.25">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8.25">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8.25">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www.towerjazz.com</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8.25">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8.25">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8.25">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25" hidden="1">
      <c r="A57" s="105"/>
      <c r="B57" s="105"/>
      <c r="C57" s="105"/>
      <c r="D57" s="111"/>
      <c r="E57" s="87"/>
      <c r="F57" s="110"/>
      <c r="G57" s="84"/>
      <c r="H57" s="85"/>
      <c r="I57" s="181"/>
    </row>
    <row r="58" spans="1:12" ht="38.25">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8.25">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8.25">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8.25">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8.25">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List'!AB$5:AB$2493,"Tantalum?*")&gt;0),0,1)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8.25">
      <c r="A63" s="105" t="s">
        <v>2117</v>
      </c>
      <c r="B63" s="105"/>
      <c r="C63" s="105" t="str">
        <f>IF(K63=1,L63,IF(B16="No","Not Required",IF(G63=0,I63,J63)))</f>
        <v>Not Required</v>
      </c>
      <c r="D63" s="111" t="str">
        <f ca="1">IF(H63=0,"","Click here to provide smelter information")</f>
        <v/>
      </c>
      <c r="E63" s="87" t="s">
        <v>918</v>
      </c>
      <c r="F63" s="110">
        <f>F26</f>
        <v>0</v>
      </c>
      <c r="G63" s="84">
        <f ca="1">IF(AND(COUNTIF(SmelterIdetifiedForMetal,"Tin")&gt;0,COUNTIF('Smelter List'!AB$5:AB$2493,"Tin?*")&gt;0),0,1)</f>
        <v>1</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8.25">
      <c r="A64" s="105" t="s">
        <v>2118</v>
      </c>
      <c r="B64" s="105"/>
      <c r="C64" s="105" t="str">
        <f>IF(K64=1,L64,IF(B17="No","Not Required",IF(G64=0,I64,J64)))</f>
        <v>Not Required</v>
      </c>
      <c r="D64" s="111" t="str">
        <f ca="1">IF(H64=0,"","Click here to provide smelter information")</f>
        <v/>
      </c>
      <c r="E64" s="87" t="s">
        <v>918</v>
      </c>
      <c r="F64" s="110">
        <f>F27</f>
        <v>0</v>
      </c>
      <c r="G64" s="84">
        <f ca="1">IF(AND(COUNTIF(SmelterIdetifiedForMetal,"Gold")&gt;0,COUNTIF('Smelter List'!AB$5:AB$2493,"Gold?*")&gt;0),0,1)</f>
        <v>1</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8.25">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47" priority="337" stopIfTrue="1">
      <formula>IF(F62=0,TRUE)</formula>
    </cfRule>
  </conditionalFormatting>
  <conditionalFormatting sqref="A5:A13">
    <cfRule type="expression" dxfId="46" priority="45" stopIfTrue="1">
      <formula>$F5=0</formula>
    </cfRule>
    <cfRule type="expression" dxfId="45" priority="46" stopIfTrue="1">
      <formula>AND($F5=1,$G5=0)</formula>
    </cfRule>
    <cfRule type="expression" dxfId="44" priority="47" stopIfTrue="1">
      <formula>AND($F5&lt;&gt;0,$G5&lt;&gt;0)</formula>
    </cfRule>
  </conditionalFormatting>
  <conditionalFormatting sqref="B61">
    <cfRule type="expression" dxfId="43" priority="43" stopIfTrue="1">
      <formula>$F61=0</formula>
    </cfRule>
  </conditionalFormatting>
  <conditionalFormatting sqref="D52">
    <cfRule type="expression" dxfId="42" priority="354" stopIfTrue="1">
      <formula>$H$52=0</formula>
    </cfRule>
  </conditionalFormatting>
  <conditionalFormatting sqref="B63">
    <cfRule type="expression" dxfId="41" priority="35" stopIfTrue="1">
      <formula>IF(F63=0,TRUE)</formula>
    </cfRule>
  </conditionalFormatting>
  <conditionalFormatting sqref="B64">
    <cfRule type="expression" dxfId="40" priority="31" stopIfTrue="1">
      <formula>IF(F64=0,TRUE)</formula>
    </cfRule>
  </conditionalFormatting>
  <conditionalFormatting sqref="B65:B66">
    <cfRule type="expression" dxfId="39" priority="27" stopIfTrue="1">
      <formula>IF(F65=0,TRUE)</formula>
    </cfRule>
  </conditionalFormatting>
  <conditionalFormatting sqref="C66">
    <cfRule type="expression" dxfId="38" priority="9" stopIfTrue="1">
      <formula>C66="Not Required"</formula>
    </cfRule>
    <cfRule type="expression" dxfId="37" priority="17" stopIfTrue="1">
      <formula>OR(C66="Complete",C66="填写", C66="記入",C66="완료",C66="Complétez",C66="Concluído",C66="Vollständig",C66="Completare",C66="Doldurun")</formula>
    </cfRule>
  </conditionalFormatting>
  <conditionalFormatting sqref="A66">
    <cfRule type="expression" dxfId="36" priority="10" stopIfTrue="1">
      <formula>C66="Not Required"</formula>
    </cfRule>
    <cfRule type="expression" dxfId="35"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34" priority="343" stopIfTrue="1">
      <formula>$F4=0</formula>
    </cfRule>
    <cfRule type="expression" dxfId="33" priority="344" stopIfTrue="1">
      <formula>$H4=0</formula>
    </cfRule>
    <cfRule type="expression" dxfId="32" priority="345" stopIfTrue="1">
      <formula>$H4=1</formula>
    </cfRule>
  </conditionalFormatting>
  <conditionalFormatting sqref="C66 A66">
    <cfRule type="expression" dxfId="31" priority="7" stopIfTrue="1">
      <formula>IF(AND($F$66=1,$G$66=1),TRUE,FALSE)</formula>
    </cfRule>
  </conditionalFormatting>
  <conditionalFormatting sqref="A62:A65">
    <cfRule type="expression" dxfId="30" priority="4" stopIfTrue="1">
      <formula>$F62=0</formula>
    </cfRule>
    <cfRule type="expression" dxfId="29" priority="5" stopIfTrue="1">
      <formula>$H62=0</formula>
    </cfRule>
    <cfRule type="expression" dxfId="28" priority="6" stopIfTrue="1">
      <formula>$H62=1</formula>
    </cfRule>
  </conditionalFormatting>
  <conditionalFormatting sqref="C62:C65">
    <cfRule type="expression" dxfId="27" priority="1" stopIfTrue="1">
      <formula>$F62=0</formula>
    </cfRule>
    <cfRule type="expression" dxfId="26" priority="2" stopIfTrue="1">
      <formula>$H62=0</formula>
    </cfRule>
    <cfRule type="expression" dxfId="25"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39" t="str">
        <f ca="1">OFFSET(L!$C$1,MATCH("Product List"&amp;ADDRESS(ROW(),COLUMN(),4),L!$A:$A,0)-1,SL,,)</f>
        <v>Completion required only if reporting level "Product (or List of Products)" selected on the 'Declaration' worksheet.</v>
      </c>
      <c r="B1" s="440"/>
      <c r="C1" s="440"/>
      <c r="D1" s="440"/>
      <c r="E1" s="149"/>
    </row>
    <row r="2" spans="1:6">
      <c r="A2" s="29"/>
      <c r="B2" s="151"/>
      <c r="C2" s="151"/>
      <c r="D2"/>
      <c r="E2" s="30"/>
    </row>
    <row r="3" spans="1:6">
      <c r="A3" s="29"/>
      <c r="B3" s="151"/>
      <c r="C3" s="151"/>
      <c r="D3" s="151"/>
      <c r="E3" s="30"/>
    </row>
    <row r="4" spans="1:6" ht="15.75" customHeight="1">
      <c r="A4" s="29"/>
      <c r="B4" s="438" t="s">
        <v>1014</v>
      </c>
      <c r="C4" s="438"/>
      <c r="D4" s="438"/>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1" t="str">
        <f ca="1">OFFSET(L!$C$1,MATCH("General"&amp;"Cpy",L!$A:$A,0)-1,SL,,)</f>
        <v>© 2019 Responsible Minerals Initiative. All rights reserved.</v>
      </c>
      <c r="C1001" s="441"/>
      <c r="D1001" s="441"/>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24"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2.7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8.5">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48.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48.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1.2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7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14">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48.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14">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56.5">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13.7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1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5.5">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99.7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75.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2.7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2.7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28.2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57">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42.75">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2.7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42.75">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5">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2.7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5">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8.5">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7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Amsalem Moti</cp:lastModifiedBy>
  <cp:lastPrinted>2015-04-21T20:47:43Z</cp:lastPrinted>
  <dcterms:created xsi:type="dcterms:W3CDTF">2010-06-21T21:00:23Z</dcterms:created>
  <dcterms:modified xsi:type="dcterms:W3CDTF">2019-06-18T07:50:23Z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