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NPB\"/>
    </mc:Choice>
  </mc:AlternateContent>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5" i="5" l="1"/>
  <c r="B6" i="5"/>
  <c r="C5" i="5"/>
  <c r="C6" i="5"/>
  <c r="C4" i="6"/>
  <c r="B43" i="6"/>
  <c r="B38" i="6"/>
  <c r="B28" i="6"/>
  <c r="G28" i="6" s="1"/>
  <c r="B33" i="6"/>
  <c r="G33" i="6" s="1"/>
  <c r="C12" i="6"/>
  <c r="C13" i="6"/>
  <c r="C7" i="6"/>
  <c r="C11" i="6"/>
  <c r="C10" i="6"/>
  <c r="C8"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F63" i="6"/>
  <c r="G21" i="6"/>
  <c r="H21" i="6" s="1"/>
  <c r="B26" i="6"/>
  <c r="G26" i="6" s="1"/>
  <c r="H26" i="6" s="1"/>
  <c r="C26" i="6" s="1"/>
  <c r="B36" i="6"/>
  <c r="B46" i="6"/>
  <c r="G46" i="6" s="1"/>
  <c r="G31" i="6"/>
  <c r="H22" i="6"/>
  <c r="D22" i="6" s="1"/>
  <c r="G47" i="6"/>
  <c r="G42" i="6"/>
  <c r="K65" i="6"/>
  <c r="G27" i="6"/>
  <c r="G32" i="6"/>
  <c r="G43" i="6"/>
  <c r="G38" i="6"/>
  <c r="G35"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6" i="6" l="1"/>
  <c r="C36" i="6" s="1"/>
  <c r="H41" i="6"/>
  <c r="F41" i="6"/>
  <c r="F50" i="6"/>
  <c r="F59" i="6" s="1"/>
  <c r="H59" i="6" s="1"/>
  <c r="H25" i="6"/>
  <c r="C25" i="6" s="1"/>
  <c r="D25" i="6"/>
  <c r="V57" i="5"/>
  <c r="R57" i="5" s="1"/>
  <c r="V541" i="5"/>
  <c r="F541" i="5" s="1"/>
  <c r="V73" i="5"/>
  <c r="R73" i="5" s="1"/>
  <c r="V33" i="5"/>
  <c r="G33" i="5" s="1"/>
  <c r="V17" i="5"/>
  <c r="F17" i="5" s="1"/>
  <c r="V468" i="5"/>
  <c r="E468" i="5" s="1"/>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H31" i="6"/>
  <c r="D31" i="6" s="1"/>
  <c r="F46" i="6"/>
  <c r="H46" i="6" s="1"/>
  <c r="F31" i="6"/>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C27" i="6"/>
  <c r="D27" i="6"/>
  <c r="C61" i="6"/>
  <c r="D61" i="6"/>
  <c r="C37" i="6"/>
  <c r="D37" i="6"/>
  <c r="D47" i="6"/>
  <c r="C47" i="6"/>
  <c r="S466" i="5"/>
  <c r="T466" i="5"/>
  <c r="F56" i="6" l="1"/>
  <c r="H56" i="6" s="1"/>
  <c r="H50" i="6"/>
  <c r="F55" i="6"/>
  <c r="H55" i="6" s="1"/>
  <c r="D32" i="6"/>
  <c r="F51" i="6"/>
  <c r="F52" i="6" s="1"/>
  <c r="H52" i="6" s="1"/>
  <c r="F54" i="6"/>
  <c r="H54" i="6" s="1"/>
  <c r="C54" i="6" s="1"/>
  <c r="F53" i="6"/>
  <c r="H53" i="6" s="1"/>
  <c r="F58" i="6"/>
  <c r="H58" i="6" s="1"/>
  <c r="C58" i="6" s="1"/>
  <c r="F60" i="6"/>
  <c r="H60" i="6" s="1"/>
  <c r="C60" i="6" s="1"/>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C50" i="6"/>
  <c r="D50" i="6"/>
  <c r="D60" i="6"/>
  <c r="D59" i="6"/>
  <c r="C59" i="6"/>
  <c r="D55" i="6"/>
  <c r="C55" i="6"/>
  <c r="C53" i="6"/>
  <c r="D53" i="6"/>
  <c r="H51" i="6"/>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9" i="5"/>
  <c r="T10" i="5"/>
  <c r="T6" i="5"/>
  <c r="T5" i="5"/>
  <c r="H65" i="6" l="1"/>
  <c r="D65" i="6" s="1"/>
  <c r="C65" i="6"/>
  <c r="D54" i="6"/>
  <c r="D58"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11" i="5"/>
  <c r="S5" i="5"/>
  <c r="S6"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<sst xmlns="http://schemas.openxmlformats.org/spreadsheetml/2006/main" count="21633" uniqueCount="15511">
  <si>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</si>
  <si>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</si>
  <si>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</si>
  <si>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</si>
  <si>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</si>
  <si>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</si>
  <si>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</si>
  <si>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</si>
  <si>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</si>
  <si>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</si>
  <si>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</si>
  <si>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</si>
  <si>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</si>
  <si>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</si>
  <si>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</si>
  <si>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</si>
  <si>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</si>
  <si>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</si>
  <si>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</si>
  <si>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</si>
  <si>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</si>
  <si>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</si>
  <si>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</si>
  <si>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</si>
  <si>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</si>
  <si>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</si>
  <si>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</si>
  <si>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</si>
  <si>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</si>
  <si>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</si>
  <si>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</si>
  <si>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</si>
  <si>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</si>
  <si>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</si>
  <si>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</si>
  <si>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</si>
  <si>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</si>
  <si>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</si>
  <si>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</si>
  <si>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</si>
  <si>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</si>
  <si>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</si>
  <si>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</si>
  <si>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</si>
  <si>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</si>
  <si>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</si>
  <si>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</si>
  <si>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</si>
  <si>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</si>
  <si>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</si>
  <si>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</si>
  <si>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</si>
  <si>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</si>
  <si>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</si>
  <si>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</si>
  <si>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</si>
  <si>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</si>
  <si>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</si>
  <si>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</si>
  <si>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</si>
  <si>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</si>
  <si>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</si>
  <si>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</si>
  <si>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</si>
  <si>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</si>
  <si>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</si>
  <si>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</si>
  <si>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</si>
  <si>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</si>
  <si>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</si>
  <si>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</si>
  <si>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</si>
  <si>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</si>
  <si>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</si>
  <si>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</si>
  <si>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</si>
  <si>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</si>
  <si>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</si>
  <si>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</si>
  <si>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</si>
  <si>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</si>
  <si>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</si>
  <si>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</si>
  <si>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</si>
  <si>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</si>
  <si>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</si>
  <si>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</si>
  <si>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</si>
  <si>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</si>
  <si>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</si>
  <si>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</si>
  <si>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</si>
  <si>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</si>
  <si>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</si>
  <si>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</si>
  <si>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</si>
  <si>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</si>
  <si>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</si>
  <si>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</si>
  <si>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</si>
  <si>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</si>
  <si>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</si>
  <si>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</si>
  <si>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</si>
  <si>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</si>
  <si>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</si>
  <si>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</si>
  <si>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</si>
  <si>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</si>
  <si>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</si>
  <si>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</si>
  <si>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</si>
  <si>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</si>
  <si>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</si>
  <si>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</si>
  <si>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</si>
  <si>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</si>
  <si>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</si>
  <si>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</si>
  <si>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</si>
  <si>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</si>
  <si>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</si>
  <si>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</si>
  <si>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</si>
  <si>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</si>
  <si>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</si>
  <si>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</si>
  <si>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</si>
  <si>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</si>
  <si>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</si>
  <si>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</si>
  <si>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</si>
  <si>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</si>
  <si>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</si>
  <si>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</si>
  <si>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</si>
  <si>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</si>
  <si>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</si>
  <si>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</si>
  <si>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</si>
  <si>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</si>
  <si>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</si>
  <si>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</si>
  <si>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</si>
  <si>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</si>
  <si>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</si>
  <si>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</si>
  <si>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</si>
  <si>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</si>
  <si>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</si>
  <si>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</si>
  <si>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</si>
  <si>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</si>
  <si>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</si>
  <si>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</si>
  <si>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</si>
  <si>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</si>
  <si>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</si>
  <si>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</si>
  <si>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</si>
  <si>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</si>
  <si>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</si>
  <si>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</si>
  <si>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</si>
  <si>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</si>
  <si>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</si>
  <si>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</si>
  <si>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</si>
  <si>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</si>
  <si>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</si>
  <si>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</si>
  <si>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</si>
  <si>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</si>
  <si>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</si>
  <si>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</si>
  <si>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</si>
  <si>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</si>
  <si>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</si>
  <si>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</si>
  <si>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</si>
  <si>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</si>
  <si>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</si>
  <si>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</si>
  <si>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</si>
  <si>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</si>
  <si>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</si>
  <si>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</si>
  <si>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</si>
  <si>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</si>
  <si>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</si>
  <si>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</si>
  <si>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</si>
  <si>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</si>
  <si>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</si>
  <si>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</si>
  <si>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</si>
  <si>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</si>
  <si>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</si>
  <si>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</si>
  <si>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</si>
  <si>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</si>
  <si>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</si>
  <si>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</si>
  <si>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</si>
  <si>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</si>
  <si>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</si>
  <si>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</si>
  <si>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</si>
  <si>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</si>
  <si>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</si>
  <si>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</si>
  <si>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</si>
  <si>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</si>
  <si>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</si>
  <si>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</si>
  <si>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</si>
  <si>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</si>
  <si>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</si>
  <si>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</si>
  <si>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</si>
  <si>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</si>
  <si>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</si>
  <si>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</si>
  <si>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</si>
  <si>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</si>
  <si>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</si>
  <si>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</si>
  <si>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</si>
  <si>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</si>
  <si>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</si>
  <si>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</si>
  <si>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</si>
  <si>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</si>
  <si>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</si>
  <si>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</si>
  <si>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</si>
  <si>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</si>
  <si>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</si>
  <si>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</si>
  <si>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</si>
  <si>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</si>
  <si>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</si>
  <si>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</si>
  <si>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</si>
  <si>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</si>
  <si>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</si>
  <si>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</si>
  <si>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</si>
  <si>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</si>
  <si>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</si>
  <si>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</si>
  <si>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</si>
  <si>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</si>
  <si>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</si>
  <si>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</si>
  <si>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</si>
  <si>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</si>
  <si>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</si>
  <si>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</si>
  <si>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</si>
  <si>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</si>
  <si>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</si>
  <si>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</si>
  <si>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</si>
  <si>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</si>
  <si>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</si>
  <si>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</si>
  <si>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</si>
  <si>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</si>
  <si>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</si>
  <si>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</si>
  <si>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</si>
  <si>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</si>
  <si>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</si>
  <si>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</si>
  <si>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</si>
  <si>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</si>
  <si>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</si>
  <si>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</si>
  <si>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</si>
  <si>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</si>
  <si>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</si>
  <si>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</si>
  <si>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</si>
  <si>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</si>
  <si>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</si>
  <si>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</si>
  <si>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</si>
  <si>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</si>
  <si>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</si>
  <si>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</si>
  <si>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</si>
  <si>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</si>
  <si>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</si>
  <si>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</si>
  <si>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</si>
  <si>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</si>
  <si>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</si>
  <si>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</si>
  <si>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</si>
  <si>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</si>
  <si>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</si>
  <si>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</si>
  <si>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</si>
  <si>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</si>
  <si>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</si>
  <si>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</si>
  <si>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</si>
  <si>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</si>
  <si>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</si>
  <si>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</si>
  <si>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</si>
  <si>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</si>
  <si>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</si>
  <si>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</si>
  <si>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</si>
  <si>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</si>
  <si>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</si>
  <si>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</si>
  <si>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</si>
  <si>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</si>
  <si>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</si>
  <si>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</si>
  <si>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</si>
  <si>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</si>
  <si>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</si>
  <si>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</si>
  <si>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</si>
  <si>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</si>
  <si>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</si>
  <si>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</si>
  <si>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</si>
  <si>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</si>
  <si>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</si>
  <si>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</si>
  <si>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</si>
  <si>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</si>
  <si>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</si>
  <si>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</si>
  <si>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</si>
  <si>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</si>
  <si>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</si>
  <si>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</si>
  <si>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</si>
  <si>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</si>
  <si>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</si>
  <si>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</si>
  <si>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</si>
  <si>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</si>
  <si>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</si>
  <si>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</si>
  <si>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</si>
  <si>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</si>
  <si>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</si>
  <si>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</si>
  <si>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</si>
  <si>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</si>
  <si>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</si>
  <si>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</si>
  <si>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</si>
  <si>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</si>
  <si>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</si>
  <si>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</si>
  <si>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</si>
  <si>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</si>
  <si>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</si>
  <si>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</si>
  <si>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</si>
  <si>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</si>
  <si>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</si>
  <si>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</si>
  <si>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</si>
  <si>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</si>
  <si>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</si>
  <si>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</si>
  <si>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</si>
  <si>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</si>
  <si>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</si>
  <si>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</si>
  <si>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</si>
  <si>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</si>
  <si>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</si>
  <si>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</si>
  <si>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</si>
  <si>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</si>
  <si>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</si>
  <si>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</si>
  <si>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</si>
  <si>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</si>
  <si>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</si>
  <si>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</si>
  <si>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</si>
  <si>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</si>
  <si>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</si>
  <si>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</si>
  <si>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</si>
  <si>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</si>
  <si>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</si>
  <si>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</si>
  <si>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</si>
  <si>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</si>
  <si>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</si>
  <si>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</si>
  <si>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</si>
  <si>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</si>
  <si>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</si>
  <si>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</si>
  <si>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</si>
  <si>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</si>
  <si>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</si>
  <si>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</si>
  <si>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</si>
  <si>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</si>
  <si>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</si>
  <si>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</si>
  <si>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</si>
  <si>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</si>
  <si>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</si>
  <si>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</si>
  <si>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</si>
  <si>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</si>
  <si>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</si>
  <si>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</si>
  <si>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</si>
  <si>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</si>
  <si>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</si>
  <si>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</si>
  <si>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</si>
  <si>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</si>
  <si>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</si>
  <si>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</si>
  <si>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</si>
  <si>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</si>
  <si>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</si>
  <si>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</si>
  <si>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</si>
  <si>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</si>
  <si>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</si>
  <si>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</si>
  <si>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</si>
  <si>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</si>
  <si>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</si>
  <si>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</si>
  <si>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</si>
  <si>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</si>
  <si>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</si>
  <si>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</si>
  <si>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</si>
  <si>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</si>
  <si>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</si>
  <si>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</si>
  <si>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</si>
  <si>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</si>
  <si>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</si>
  <si>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</si>
  <si>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</si>
  <si>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</si>
  <si>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</si>
  <si>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</si>
  <si>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</si>
  <si>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</si>
  <si>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</si>
  <si>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</si>
  <si>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</si>
  <si>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</si>
  <si>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</si>
  <si>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</si>
  <si>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</si>
  <si>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</si>
  <si>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</si>
  <si>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</si>
  <si>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</si>
  <si>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</si>
  <si>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</si>
  <si>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</si>
  <si>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</si>
  <si>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</si>
  <si>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</si>
  <si>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</si>
  <si>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</si>
  <si>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</si>
  <si>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</si>
  <si>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</si>
  <si>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</si>
  <si>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</si>
  <si>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</si>
  <si>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</si>
  <si>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</si>
  <si>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</si>
  <si>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</si>
  <si>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</si>
  <si>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</si>
  <si>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</si>
  <si>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</si>
  <si>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</si>
  <si>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</si>
  <si>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</si>
  <si>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</si>
  <si>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</si>
  <si>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</si>
  <si>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</si>
  <si>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</si>
  <si>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</si>
  <si>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</si>
  <si>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</si>
  <si>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</si>
  <si>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</si>
  <si>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</si>
  <si>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</si>
  <si>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</si>
  <si>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</si>
  <si>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</si>
  <si>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</si>
  <si>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</si>
  <si>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</si>
  <si>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</si>
  <si>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</si>
  <si>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</si>
  <si>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</si>
  <si>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</si>
  <si>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</si>
  <si>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</si>
  <si>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</si>
  <si>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</si>
  <si>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</si>
  <si>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</si>
  <si>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</si>
  <si>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</si>
  <si>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</si>
  <si>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</si>
  <si>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</si>
  <si>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</si>
  <si>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</si>
  <si>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</si>
  <si>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</si>
  <si>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</si>
  <si>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</si>
  <si>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</si>
  <si>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</si>
  <si>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</si>
  <si>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</si>
  <si>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</si>
  <si>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</si>
  <si>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</si>
  <si>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</si>
  <si>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</si>
  <si>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</si>
  <si>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</si>
  <si>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</si>
  <si>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</si>
  <si>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</si>
  <si>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</si>
  <si>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</si>
  <si>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</si>
  <si>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</si>
  <si>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</si>
  <si>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</si>
  <si>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</si>
  <si>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</si>
  <si>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</si>
  <si>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</si>
  <si>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</si>
  <si>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</si>
  <si>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</si>
  <si>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</si>
  <si>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</si>
  <si>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</si>
  <si>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</si>
  <si>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</si>
  <si>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</si>
  <si>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</si>
  <si>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</si>
  <si>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</si>
  <si>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</si>
  <si>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</si>
  <si>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</si>
  <si>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</si>
  <si>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</si>
  <si>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</si>
  <si>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</si>
  <si>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</si>
  <si>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</si>
  <si>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</si>
  <si>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</si>
  <si>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</si>
  <si>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</si>
  <si>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</si>
  <si>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</si>
  <si>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</si>
  <si>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</si>
  <si>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</si>
  <si>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</si>
  <si>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</si>
  <si>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</si>
  <si>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</si>
  <si>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</si>
  <si>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</si>
  <si>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</si>
  <si>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</si>
  <si>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</si>
  <si>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</si>
  <si>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</si>
  <si>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</si>
  <si>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</si>
  <si>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</si>
  <si>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</si>
  <si>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</si>
  <si>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</si>
  <si>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</si>
  <si>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</si>
  <si>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</si>
  <si>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</si>
  <si>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</si>
  <si>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</si>
  <si>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</si>
  <si>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</si>
  <si>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</si>
  <si>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</si>
  <si>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</si>
  <si>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</si>
  <si>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</si>
  <si>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</si>
  <si>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</si>
  <si>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</si>
  <si>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</si>
  <si>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</si>
  <si>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</si>
  <si>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</si>
  <si>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</si>
  <si>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</si>
  <si>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</si>
  <si>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</si>
  <si>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</si>
  <si>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</si>
  <si>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</si>
  <si>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</si>
  <si>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</si>
  <si>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</si>
  <si>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</si>
  <si>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</si>
  <si>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</si>
  <si>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</si>
  <si>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</si>
  <si>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</si>
  <si>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</si>
  <si>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</si>
  <si>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</si>
  <si>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</si>
  <si>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</si>
  <si>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</si>
  <si>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</si>
  <si>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</si>
  <si>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</si>
  <si>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</si>
  <si>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</si>
  <si>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</si>
  <si>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</si>
  <si>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</si>
  <si>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</si>
  <si>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</si>
  <si>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</si>
  <si>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</si>
  <si>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</si>
  <si>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</si>
  <si>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</si>
  <si>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</si>
  <si>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</si>
  <si>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</si>
  <si>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</si>
  <si>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</si>
  <si>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</si>
  <si>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</si>
  <si>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</si>
  <si>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</si>
  <si>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</si>
  <si>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</si>
  <si>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</si>
  <si>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</si>
  <si>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</si>
  <si>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</si>
  <si>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</si>
  <si>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</si>
  <si>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</si>
  <si>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</si>
  <si>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</si>
  <si>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</si>
  <si>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</si>
  <si>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</si>
  <si>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</si>
  <si>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</si>
  <si>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</si>
  <si>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</si>
  <si>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</si>
  <si>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</si>
  <si>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</si>
  <si>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</si>
  <si>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</si>
  <si>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</si>
  <si>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</si>
  <si>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</si>
  <si>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</si>
  <si>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</si>
  <si>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</si>
  <si>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</si>
  <si>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</si>
  <si>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</si>
  <si>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</si>
  <si>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</si>
  <si>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</si>
  <si>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</si>
  <si>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</si>
  <si>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</si>
  <si>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</si>
  <si>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</si>
  <si>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</si>
  <si>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</si>
  <si>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</si>
  <si>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</si>
  <si>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</si>
  <si>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</si>
  <si>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</si>
  <si>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</si>
  <si>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</si>
  <si>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</si>
  <si>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</si>
  <si>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</si>
  <si>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</si>
  <si>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</si>
  <si>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</si>
  <si>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</si>
  <si>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</si>
  <si>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</si>
  <si>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</si>
  <si>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</si>
  <si>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</si>
  <si>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</si>
  <si>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</si>
  <si>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</si>
  <si>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</si>
  <si>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</si>
  <si>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</si>
  <si>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</si>
  <si>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</si>
  <si>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</si>
  <si>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</si>
  <si>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</si>
  <si>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</si>
  <si>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</si>
  <si>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</si>
  <si>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</si>
  <si>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</si>
  <si>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</si>
  <si>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</si>
  <si>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</si>
  <si>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</si>
  <si>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</si>
  <si>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</si>
  <si>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</si>
  <si>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</si>
  <si>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</si>
  <si>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</si>
  <si>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</si>
  <si>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</si>
  <si>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</si>
  <si>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</si>
  <si>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</si>
  <si>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</si>
  <si>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</si>
  <si>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</si>
  <si>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</si>
  <si>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</si>
  <si>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</si>
  <si>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</si>
  <si>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</si>
  <si>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</si>
  <si>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</si>
  <si>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</si>
  <si>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</si>
  <si>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</si>
  <si>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</si>
  <si>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</si>
  <si>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</si>
  <si>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</si>
  <si>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</si>
  <si>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</si>
  <si>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</si>
  <si>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</si>
  <si>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</si>
  <si>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</si>
  <si>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</si>
  <si>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</si>
  <si>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</si>
  <si>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</si>
  <si>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</si>
  <si>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</si>
  <si>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</si>
  <si>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</si>
  <si>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</si>
  <si>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</si>
  <si>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</si>
  <si>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</si>
  <si>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</si>
  <si>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</si>
  <si>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</si>
  <si>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</si>
  <si>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</si>
  <si>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</si>
  <si>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</si>
  <si>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</si>
  <si>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</si>
  <si>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</si>
  <si>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</si>
  <si>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</si>
  <si>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</si>
  <si>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</si>
  <si>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</si>
  <si>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</si>
  <si>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</si>
  <si>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</si>
  <si>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</si>
  <si>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</si>
  <si>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</si>
  <si>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</si>
  <si>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</si>
  <si>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</si>
  <si>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</si>
  <si>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</si>
  <si>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</si>
  <si>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</si>
  <si>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</si>
  <si>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</si>
  <si>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</si>
  <si>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</si>
  <si>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</si>
  <si>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</si>
  <si>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</si>
  <si>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</si>
  <si>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</si>
  <si>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</si>
  <si>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</si>
  <si>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</si>
  <si>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</si>
  <si>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</si>
  <si>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</si>
  <si>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</si>
  <si>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</si>
  <si>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</si>
  <si>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</si>
  <si>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</si>
  <si>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</si>
  <si>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</si>
  <si>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</si>
  <si>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</si>
  <si>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</si>
  <si>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</si>
  <si>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</si>
  <si>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</si>
  <si>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</si>
  <si>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</si>
  <si>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</si>
  <si>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</si>
  <si>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</si>
  <si>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</si>
  <si>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</si>
  <si>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</si>
  <si>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</si>
  <si>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</si>
  <si>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</si>
  <si>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</si>
  <si>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</si>
  <si>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</si>
  <si>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</si>
  <si>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</si>
  <si>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</si>
  <si>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</si>
  <si>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</si>
  <si>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</si>
  <si>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</si>
  <si>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</si>
  <si>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</si>
  <si>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</si>
  <si>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</si>
  <si>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</si>
  <si>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</si>
  <si>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</si>
  <si>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</si>
  <si>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</si>
  <si>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</si>
  <si>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</si>
  <si>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</si>
  <si>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</si>
  <si>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</si>
  <si>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</si>
  <si>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</si>
  <si>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</si>
  <si>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</si>
  <si>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</si>
  <si>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</si>
  <si>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</si>
  <si>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</si>
  <si>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</si>
  <si>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</si>
  <si>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</si>
  <si>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</si>
  <si>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</si>
  <si>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</si>
  <si>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</si>
  <si>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</si>
  <si>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</si>
  <si>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</si>
  <si>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</si>
  <si>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</si>
  <si>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</si>
  <si>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</si>
  <si>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</si>
  <si>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</si>
  <si>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</si>
  <si>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</si>
  <si>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</si>
  <si>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</si>
  <si>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</si>
  <si>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</si>
  <si>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</si>
  <si>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</si>
  <si>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</si>
  <si>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</si>
  <si>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</si>
  <si>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</si>
  <si>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</si>
  <si>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</si>
  <si>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</si>
  <si>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</si>
  <si>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</si>
  <si>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</si>
  <si>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</si>
  <si>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</si>
  <si>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</si>
  <si>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</si>
  <si>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</si>
  <si>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</si>
  <si>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</si>
  <si>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</si>
  <si>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</si>
  <si>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</si>
  <si>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</si>
  <si>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</si>
  <si>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</si>
  <si>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</si>
  <si>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</si>
  <si>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</si>
  <si>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</si>
  <si>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</si>
  <si>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</si>
  <si>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</si>
  <si>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</si>
  <si>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</si>
  <si>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</si>
  <si>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</si>
  <si>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</si>
  <si>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</si>
  <si>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</si>
  <si>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</si>
  <si>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</si>
  <si>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</si>
  <si>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</si>
  <si>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</si>
  <si>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</si>
  <si>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</si>
  <si>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</si>
  <si>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</si>
  <si>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</si>
  <si>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</si>
  <si>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</si>
  <si>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</si>
  <si>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</si>
  <si>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</si>
  <si>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</si>
  <si>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</si>
  <si>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</si>
  <si>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</si>
  <si>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</si>
  <si>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</si>
  <si>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</si>
  <si>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</si>
  <si>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</si>
  <si>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</si>
  <si>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</si>
  <si>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</si>
  <si>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</si>
  <si>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</si>
  <si>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</si>
  <si>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</si>
  <si>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</si>
  <si>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</si>
  <si>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</si>
  <si>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</si>
  <si>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</si>
  <si>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</si>
  <si>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</si>
  <si>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</si>
  <si>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</si>
  <si>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</si>
  <si>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</si>
  <si>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</si>
  <si>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</si>
  <si>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</si>
  <si>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</si>
  <si>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</si>
  <si>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</si>
  <si>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</si>
  <si>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</si>
  <si>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</si>
  <si>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</si>
  <si>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</si>
  <si>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</si>
  <si>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</si>
  <si>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</si>
  <si>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</si>
  <si>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</si>
  <si>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</si>
  <si>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</si>
  <si>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</si>
  <si>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</si>
  <si>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</si>
  <si>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</si>
  <si>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</si>
  <si>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</si>
  <si>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</si>
  <si>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</si>
  <si>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</si>
  <si>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</si>
  <si>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</si>
  <si>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</si>
  <si>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</si>
  <si>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</si>
  <si>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</si>
  <si>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</si>
  <si>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</si>
  <si>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</si>
  <si>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</si>
  <si>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</si>
  <si>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</si>
  <si>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</si>
  <si>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</si>
  <si>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</si>
  <si>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</si>
  <si>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</si>
  <si>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</si>
  <si>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</si>
  <si>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</si>
  <si>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</si>
  <si>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</si>
  <si>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</si>
  <si>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</si>
  <si>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</si>
  <si>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</si>
  <si>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</si>
  <si>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</si>
  <si>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</si>
  <si>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</si>
  <si>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</si>
  <si>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</si>
  <si>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</si>
  <si>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</si>
  <si>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</si>
  <si>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</si>
  <si>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</si>
  <si>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</si>
  <si>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</si>
  <si>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</si>
  <si>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</si>
  <si>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</si>
  <si>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</si>
  <si>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</si>
  <si>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</si>
  <si>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</si>
  <si>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</si>
  <si>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</si>
  <si>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</si>
  <si>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</si>
  <si>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</si>
  <si>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</si>
  <si>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</si>
  <si>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</si>
  <si>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</si>
  <si>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</si>
  <si>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</si>
  <si>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</si>
  <si>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</si>
  <si>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</si>
  <si>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</si>
  <si>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</si>
  <si>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</si>
  <si>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</si>
  <si>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</si>
  <si>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</si>
  <si>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</si>
  <si>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</si>
  <si>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</si>
  <si>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</si>
  <si>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</si>
  <si>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</si>
  <si>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</si>
  <si>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</si>
  <si>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</si>
  <si>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</si>
  <si>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</si>
  <si>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</si>
  <si>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</si>
  <si>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</si>
  <si>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</si>
  <si>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</si>
  <si>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</si>
  <si>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</si>
  <si>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</si>
  <si>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</si>
  <si>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</si>
  <si>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</si>
  <si>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</si>
  <si>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</si>
  <si>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</si>
  <si>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</si>
  <si>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</si>
  <si>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</si>
  <si>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</si>
  <si>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</si>
  <si>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</si>
  <si>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</si>
  <si>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</si>
  <si>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</si>
  <si>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</si>
  <si>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</si>
  <si>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</si>
  <si>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</si>
  <si>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</si>
  <si>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</si>
  <si>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</si>
  <si>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</si>
  <si>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</si>
  <si>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</si>
  <si>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</si>
  <si>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</si>
  <si>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</si>
  <si>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</si>
  <si>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</si>
  <si>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</si>
  <si>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</si>
  <si>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</si>
  <si>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</si>
  <si>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</si>
  <si>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</si>
  <si>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</si>
  <si>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</si>
  <si>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</si>
  <si>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</si>
  <si>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</si>
  <si>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</si>
  <si>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</si>
  <si>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</si>
  <si>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</si>
  <si>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</si>
  <si>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</si>
  <si>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</si>
  <si>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</si>
  <si>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</si>
  <si>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</si>
  <si>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</si>
  <si>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</si>
  <si>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</si>
  <si>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</si>
  <si>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</si>
  <si>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</si>
  <si>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</si>
  <si>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</si>
  <si>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</si>
  <si>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</si>
  <si>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</si>
  <si>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</si>
  <si>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</si>
  <si>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</si>
  <si>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</si>
  <si>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</si>
  <si>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</si>
  <si>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</si>
  <si>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</si>
  <si>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</si>
  <si>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</si>
  <si>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</si>
  <si>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</si>
  <si>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</si>
  <si>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</si>
  <si>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</si>
  <si>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</si>
  <si>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</si>
  <si>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</si>
  <si>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</si>
  <si>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</si>
  <si>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</si>
  <si>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</si>
  <si>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</si>
  <si>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</si>
  <si>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</si>
  <si>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</si>
  <si>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</si>
  <si>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</si>
  <si>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</si>
  <si>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</si>
  <si>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</si>
  <si>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</si>
  <si>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</si>
  <si>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</si>
  <si>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</si>
  <si>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</si>
  <si>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</si>
  <si>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</si>
  <si>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</si>
  <si>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</si>
  <si>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</si>
  <si>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</si>
  <si>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</si>
  <si>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</si>
  <si>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</si>
  <si>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</si>
  <si>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</si>
  <si>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</si>
  <si>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</si>
  <si>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</si>
  <si>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</si>
  <si>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</si>
  <si>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</si>
  <si>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</si>
  <si>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</si>
  <si>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</si>
  <si>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</si>
  <si>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</si>
  <si>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</si>
  <si>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</si>
  <si>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</si>
  <si>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</si>
  <si>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</si>
  <si>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</si>
  <si>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</si>
  <si>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</si>
  <si>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</si>
  <si>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</si>
  <si>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</si>
  <si>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</si>
  <si>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</si>
  <si>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</si>
  <si>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</si>
  <si>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</si>
  <si>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</si>
  <si>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</si>
  <si>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</si>
  <si>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</si>
  <si>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</si>
  <si>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</si>
  <si>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</si>
  <si>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</si>
  <si>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</si>
  <si>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</si>
  <si>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</si>
  <si>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</si>
  <si>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</si>
  <si>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</si>
  <si>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</si>
  <si>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</si>
  <si>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</si>
  <si>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</si>
  <si>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</si>
  <si>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</si>
  <si>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</si>
  <si>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</si>
  <si>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</si>
  <si>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</si>
  <si>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</si>
  <si>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</si>
  <si>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</si>
  <si>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</si>
  <si>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</si>
  <si>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</si>
  <si>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</si>
  <si>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</si>
  <si>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</si>
  <si>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</si>
  <si>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</si>
  <si>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</si>
  <si>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</si>
  <si>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</si>
  <si>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</si>
  <si>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</si>
  <si>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</si>
  <si>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</si>
  <si>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</si>
  <si>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</si>
  <si>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</si>
  <si>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</si>
  <si>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</si>
  <si>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</si>
  <si>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</si>
  <si>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</si>
  <si>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</si>
  <si>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</si>
  <si>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</si>
  <si>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</si>
  <si>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</si>
  <si>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</si>
  <si>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</si>
  <si>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</si>
  <si>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</si>
  <si>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</si>
  <si>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</si>
  <si>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</si>
  <si>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</si>
  <si>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</si>
  <si>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</si>
  <si>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</si>
  <si>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</si>
  <si>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</si>
  <si>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</si>
  <si>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</si>
  <si>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</si>
  <si>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</si>
  <si>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</si>
  <si>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</si>
  <si>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</si>
  <si>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</si>
  <si>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</si>
  <si>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</si>
  <si>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</si>
  <si>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</si>
  <si>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</si>
  <si>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</si>
  <si>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</si>
  <si>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</si>
  <si>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</si>
  <si>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</si>
  <si>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</si>
  <si>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</si>
  <si>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</si>
  <si>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</si>
  <si>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</si>
  <si>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</si>
  <si>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</si>
  <si>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</si>
  <si>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</si>
  <si>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</si>
  <si>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</si>
  <si>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</si>
  <si>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</si>
  <si>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</si>
  <si>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</si>
  <si>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</si>
  <si>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</si>
  <si>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</si>
  <si>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</si>
  <si>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</si>
  <si>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</si>
  <si>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</si>
  <si>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</si>
  <si>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</si>
  <si>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</si>
  <si>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</si>
  <si>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</si>
  <si>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</si>
  <si>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</si>
  <si>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</si>
  <si>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</si>
  <si>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</si>
  <si>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</si>
  <si>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</si>
  <si>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</si>
  <si>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</si>
  <si>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</si>
  <si>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</si>
  <si>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</si>
  <si>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</si>
  <si>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</si>
  <si>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</si>
  <si>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</si>
  <si>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</si>
  <si>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</si>
  <si>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</si>
  <si>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</si>
  <si>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</si>
  <si>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</si>
  <si>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</si>
  <si>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</si>
  <si>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</si>
  <si>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</si>
  <si>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</si>
  <si>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</si>
  <si>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</si>
  <si>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</si>
  <si>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</si>
  <si>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</si>
  <si>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</si>
  <si>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</si>
  <si>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</si>
  <si>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</si>
  <si>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</si>
  <si>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</si>
  <si>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</si>
  <si>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</si>
  <si>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</si>
  <si>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</si>
  <si>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</si>
  <si>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</si>
  <si>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</si>
  <si>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</si>
  <si>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</si>
  <si>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</si>
  <si>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</si>
  <si>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</si>
  <si>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</si>
  <si>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</si>
  <si>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</si>
  <si>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</si>
  <si>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</si>
  <si>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</si>
  <si>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</si>
  <si>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</si>
  <si>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</si>
  <si>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</si>
  <si>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</si>
  <si>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</si>
  <si>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</si>
  <si>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</si>
  <si>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</si>
  <si>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</si>
  <si>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</si>
  <si>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</si>
  <si>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</si>
  <si>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</si>
  <si>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</si>
  <si>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</si>
  <si>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</si>
  <si>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</si>
  <si>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</si>
  <si>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</si>
  <si>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</si>
  <si>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</si>
  <si>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</si>
  <si>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</si>
  <si>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</si>
  <si>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</si>
  <si>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</si>
  <si>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</si>
  <si>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</si>
  <si>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</si>
  <si>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</si>
  <si>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</si>
  <si>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</si>
  <si>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</si>
  <si>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</si>
  <si>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</si>
  <si>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</si>
  <si>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</si>
  <si>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</si>
  <si>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</si>
  <si>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</si>
  <si>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</si>
  <si>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</si>
  <si>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</si>
  <si>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</si>
  <si>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</si>
  <si>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</si>
  <si>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</si>
  <si>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</si>
  <si>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</si>
  <si>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</si>
  <si>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</si>
  <si>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</si>
  <si>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</si>
  <si>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</si>
  <si>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</si>
  <si>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</si>
  <si>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</si>
  <si>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</si>
  <si>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</si>
  <si>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</si>
  <si>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</si>
  <si>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</si>
  <si>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</si>
  <si>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</si>
  <si>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</si>
  <si>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</si>
  <si>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</si>
  <si>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</si>
  <si>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</si>
  <si>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</si>
  <si>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</si>
  <si>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</si>
  <si>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</si>
  <si>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</si>
  <si>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</si>
  <si>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</si>
  <si>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</si>
  <si>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</si>
  <si>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</si>
  <si>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</si>
  <si>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</si>
  <si>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</si>
  <si>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</si>
  <si>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</si>
  <si>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</si>
  <si>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</si>
  <si>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</si>
  <si>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</si>
  <si>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</si>
  <si>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</si>
  <si>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</si>
  <si>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</si>
  <si>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</si>
  <si>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</si>
  <si>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</si>
  <si>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</si>
  <si>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</si>
  <si>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</si>
  <si>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</si>
  <si>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</si>
  <si>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</si>
  <si>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</si>
  <si>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</si>
  <si>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</si>
  <si>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</si>
  <si>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</si>
  <si>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</si>
  <si>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</si>
  <si>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</si>
  <si>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</si>
  <si>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</si>
  <si>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</si>
  <si>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</si>
  <si>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</si>
  <si>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</si>
  <si>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</si>
  <si>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</si>
  <si>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</si>
  <si>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</si>
  <si>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</si>
  <si>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</si>
  <si>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</si>
  <si>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</si>
  <si>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</si>
  <si>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</si>
  <si>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</si>
  <si>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</si>
  <si>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</si>
  <si>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</si>
  <si>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</si>
  <si>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</si>
  <si>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</si>
  <si>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</si>
  <si>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</si>
  <si>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</si>
  <si>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</si>
  <si>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</si>
  <si>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</si>
  <si>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</si>
  <si>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</si>
  <si>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</si>
  <si>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</si>
  <si>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</si>
  <si>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</si>
  <si>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</si>
  <si>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</si>
  <si>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</si>
  <si>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</si>
  <si>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</si>
  <si>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</si>
  <si>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</si>
  <si>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</si>
  <si>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</si>
  <si>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</si>
  <si>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</si>
  <si>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</si>
  <si>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</si>
  <si>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</si>
  <si>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</si>
  <si>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</si>
  <si>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</si>
  <si>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</si>
  <si>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</si>
  <si>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</si>
  <si>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</si>
  <si>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</si>
  <si>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</si>
  <si>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</si>
  <si>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</si>
  <si>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</si>
  <si>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</si>
  <si>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</si>
  <si>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</si>
  <si>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</si>
  <si>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</si>
  <si>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</si>
  <si>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</si>
  <si>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</si>
  <si>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</si>
  <si>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</si>
  <si>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</si>
  <si>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</si>
  <si>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</si>
  <si>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</si>
  <si>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</si>
  <si>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</si>
  <si>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</si>
  <si>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</si>
  <si>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</si>
  <si>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</si>
  <si>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</si>
  <si>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</si>
  <si>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</si>
  <si>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</si>
  <si>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</si>
  <si>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</si>
  <si>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</si>
  <si>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</si>
  <si>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</si>
  <si>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</si>
  <si>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</si>
  <si>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</si>
  <si>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</si>
  <si>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</si>
  <si>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</si>
  <si>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</si>
  <si>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</si>
  <si>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</si>
  <si>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</si>
  <si>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</si>
  <si>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</si>
  <si>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</si>
  <si>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</si>
  <si>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</si>
  <si>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</si>
  <si>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</si>
  <si>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</si>
  <si>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</si>
  <si>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</si>
  <si>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</si>
  <si>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</si>
  <si>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</si>
  <si>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</si>
  <si>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</si>
  <si>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</si>
  <si>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</si>
  <si>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</si>
  <si>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</si>
  <si>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</si>
  <si>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</si>
  <si>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</si>
  <si>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</si>
  <si>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</si>
  <si>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</si>
  <si>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</si>
  <si>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</si>
  <si>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</si>
  <si>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</si>
  <si>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</si>
  <si>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</si>
  <si>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</si>
  <si>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</si>
  <si>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</si>
  <si>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</si>
  <si>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</si>
  <si>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</si>
  <si>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</si>
  <si>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</si>
  <si>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</si>
  <si>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</si>
  <si>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</si>
  <si>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</si>
  <si>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</si>
  <si>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</si>
  <si>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</si>
  <si>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</si>
  <si>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</si>
  <si>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</si>
  <si>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</si>
  <si>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</si>
  <si>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</si>
  <si>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</si>
  <si>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</si>
  <si>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</si>
  <si>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</si>
  <si>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</si>
  <si>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</si>
  <si>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</si>
  <si>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</si>
  <si>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</si>
  <si>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</si>
  <si>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</si>
  <si>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</si>
  <si>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</si>
  <si>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</si>
  <si>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</si>
  <si>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</si>
  <si>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</si>
  <si>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</si>
  <si>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</si>
  <si>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</si>
  <si>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</si>
  <si>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</si>
  <si>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</si>
  <si>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</si>
  <si>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</si>
  <si>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</si>
  <si>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</si>
  <si>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</si>
  <si>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</si>
  <si>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</si>
  <si>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</si>
  <si>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</si>
  <si>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</si>
  <si>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</si>
  <si>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</si>
  <si>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</si>
  <si>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</si>
  <si>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</si>
  <si>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</si>
  <si>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</si>
  <si>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</si>
  <si>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</si>
  <si>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</si>
  <si>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</si>
  <si>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</si>
  <si>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</si>
  <si>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</si>
  <si>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</si>
  <si>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</si>
  <si>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</si>
  <si>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</si>
  <si>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</si>
  <si>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</si>
  <si>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</si>
  <si>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</si>
  <si>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</si>
  <si>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</si>
  <si>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</si>
  <si>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</si>
  <si>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</si>
  <si>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</si>
  <si>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</si>
  <si>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</si>
  <si>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</si>
  <si>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</si>
  <si>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</si>
  <si>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</si>
  <si>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</si>
  <si>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</si>
  <si>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</si>
  <si>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</si>
  <si>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</si>
  <si>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</si>
  <si>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</si>
  <si>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</si>
  <si>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</si>
  <si>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</si>
  <si>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</si>
  <si>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</si>
  <si>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</si>
  <si>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</si>
  <si>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</si>
  <si>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</si>
  <si>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</si>
  <si>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</si>
  <si>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</si>
  <si>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</si>
  <si>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</si>
  <si>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</si>
  <si>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</si>
  <si>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</si>
  <si>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</si>
  <si>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</si>
  <si>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</si>
  <si>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</si>
  <si>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</si>
  <si>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</si>
  <si>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</si>
  <si>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</si>
  <si>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</si>
  <si>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</si>
  <si>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</si>
  <si>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</si>
  <si>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</si>
  <si>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</si>
  <si>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</si>
  <si>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</si>
  <si>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</si>
  <si>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</si>
  <si>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</si>
  <si>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</si>
  <si>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</si>
  <si>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</si>
  <si>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</si>
  <si>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</si>
  <si>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</si>
  <si>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</si>
  <si>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</si>
  <si>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</si>
  <si>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</si>
  <si>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</si>
  <si>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</si>
  <si>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</si>
  <si>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</si>
  <si>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</si>
  <si>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</si>
  <si>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</si>
  <si>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</si>
  <si>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</si>
  <si>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</si>
  <si>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</si>
  <si>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</si>
  <si>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</si>
  <si>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</si>
  <si>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</si>
  <si>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</si>
  <si>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</si>
  <si>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</si>
  <si>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</si>
  <si>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</si>
  <si>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</si>
  <si>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</si>
  <si>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</si>
  <si>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</si>
  <si>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</si>
  <si>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</si>
  <si>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</si>
  <si>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</si>
  <si>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</si>
  <si>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</si>
  <si>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</si>
  <si>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</si>
  <si>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</si>
  <si>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</si>
  <si>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</si>
  <si>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</si>
  <si>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</si>
  <si>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</si>
  <si>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</si>
  <si>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</si>
  <si>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</si>
  <si>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</si>
  <si>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</si>
  <si>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</si>
  <si>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</si>
  <si>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</si>
  <si>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</si>
  <si>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</si>
  <si>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</si>
  <si>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</si>
  <si>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</si>
  <si>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</si>
  <si>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</si>
  <si>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</si>
  <si>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</si>
  <si>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</si>
  <si>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</si>
  <si>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</si>
  <si>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</si>
  <si>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</si>
  <si>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</si>
  <si>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</si>
  <si>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</si>
  <si>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</si>
  <si>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</si>
  <si>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</si>
  <si>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</si>
  <si>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</si>
  <si>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</si>
  <si>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</si>
  <si>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</si>
  <si>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</si>
  <si>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</si>
  <si>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</si>
  <si>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</si>
  <si>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</si>
  <si>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</si>
  <si>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</si>
  <si>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</si>
  <si>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</si>
  <si>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</si>
  <si>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</si>
  <si>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</si>
  <si>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</si>
  <si>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</si>
  <si>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</si>
  <si>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</si>
  <si>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</si>
  <si>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</si>
  <si>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</si>
  <si>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</si>
  <si>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</si>
  <si>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</si>
  <si>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</si>
  <si>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</si>
  <si>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</si>
  <si>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</si>
  <si>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</si>
  <si>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</si>
  <si>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</si>
  <si>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</si>
  <si>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</si>
  <si>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</si>
  <si>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</si>
  <si>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</si>
  <si>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</si>
  <si>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</si>
  <si>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</si>
  <si>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</si>
  <si>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</si>
  <si>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</si>
  <si>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</si>
  <si>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</si>
  <si>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</si>
  <si>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</si>
  <si>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</si>
  <si>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</si>
  <si>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</si>
  <si>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</si>
  <si>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</si>
  <si>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</si>
  <si>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</si>
  <si>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</si>
  <si>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</si>
  <si>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</si>
  <si>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</si>
  <si>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</si>
  <si>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</si>
  <si>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</si>
  <si>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</si>
  <si>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</si>
  <si>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</si>
  <si>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</si>
  <si>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</si>
  <si>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</si>
  <si>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</si>
  <si>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</si>
  <si>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</si>
  <si>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</si>
  <si>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</si>
  <si>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</si>
  <si>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</si>
  <si>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</si>
  <si>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</si>
  <si>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</si>
  <si>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</si>
  <si>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</si>
  <si>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</si>
  <si>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</si>
  <si>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</si>
  <si>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</si>
  <si>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</si>
  <si>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</si>
  <si>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</si>
  <si>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</si>
  <si>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</si>
  <si>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</si>
  <si>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</si>
  <si>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</si>
  <si>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</si>
  <si>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</si>
  <si>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</si>
  <si>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</si>
  <si>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</si>
  <si>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</si>
  <si>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</si>
  <si>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</si>
  <si>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</si>
  <si>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</si>
  <si>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</si>
  <si>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</si>
  <si>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</si>
  <si>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</si>
  <si>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</si>
  <si>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</si>
  <si>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</si>
  <si>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</si>
  <si>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</si>
  <si>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</si>
  <si>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</si>
  <si>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</si>
  <si>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</si>
  <si>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</si>
  <si>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</si>
  <si>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</si>
  <si>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</si>
  <si>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</si>
  <si>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</si>
  <si>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</si>
  <si>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</si>
  <si>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</si>
  <si>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</si>
  <si>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</si>
  <si>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</si>
  <si>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</si>
  <si>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</si>
  <si>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</si>
  <si>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</si>
  <si>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</si>
  <si>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</si>
  <si>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</si>
  <si>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</si>
  <si>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</si>
  <si>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</si>
  <si>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</si>
  <si>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</si>
  <si>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</si>
  <si>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</si>
  <si>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</si>
  <si>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</si>
  <si>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</si>
  <si>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</si>
  <si>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</si>
  <si>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</si>
  <si>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</si>
  <si>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</si>
  <si>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</si>
  <si>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</si>
  <si>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</si>
  <si>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</si>
  <si>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</si>
  <si>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</si>
  <si>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</si>
  <si>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</si>
  <si>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</si>
  <si>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</si>
  <si>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</si>
  <si>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</si>
  <si>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</si>
  <si>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</si>
  <si>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</si>
  <si>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</si>
  <si>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</si>
  <si>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</si>
  <si>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</si>
  <si>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</si>
  <si>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</si>
  <si>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</si>
  <si>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</si>
  <si>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</si>
  <si>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</si>
  <si>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</si>
  <si>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</si>
  <si>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</si>
  <si>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</si>
  <si>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</si>
  <si>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</si>
  <si>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</si>
  <si>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</si>
  <si>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</si>
  <si>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</si>
  <si>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</si>
  <si>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</si>
  <si>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</si>
  <si>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</si>
  <si>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</si>
  <si>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</si>
  <si>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</si>
  <si>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</si>
  <si>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</si>
  <si>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</si>
  <si>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</si>
  <si>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</si>
  <si>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</si>
  <si>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</si>
  <si>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</si>
  <si>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</si>
  <si>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</si>
  <si>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</si>
  <si>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</si>
  <si>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</si>
  <si>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</si>
  <si>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</si>
  <si>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</si>
  <si>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</si>
  <si>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</si>
  <si>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</si>
  <si>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</si>
  <si>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</si>
  <si>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</si>
  <si>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</si>
  <si>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</si>
  <si>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</si>
  <si>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</si>
  <si>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</si>
  <si>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</si>
  <si>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</si>
  <si>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</si>
  <si>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</si>
  <si>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</si>
  <si>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</si>
  <si>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</si>
  <si>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</si>
  <si>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</si>
  <si>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</si>
  <si>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</si>
  <si>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</si>
  <si>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</si>
  <si>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</si>
  <si>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</si>
  <si>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</si>
  <si>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</si>
  <si>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</si>
  <si>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</si>
  <si>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</si>
  <si>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</si>
  <si>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</si>
  <si>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</si>
  <si>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</si>
  <si>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</si>
  <si>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</si>
  <si>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</si>
  <si>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</si>
  <si>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</si>
  <si>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</si>
  <si>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</si>
  <si>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</si>
  <si>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</si>
  <si>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</si>
  <si>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</si>
  <si>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</si>
  <si>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</si>
  <si>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</si>
  <si>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</si>
  <si>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</si>
  <si>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</si>
  <si>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</si>
  <si>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</si>
  <si>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</si>
  <si>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</si>
  <si>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</si>
  <si>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</si>
  <si>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</si>
  <si>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</si>
  <si>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</si>
  <si>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</si>
  <si>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</si>
  <si>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</si>
  <si>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</si>
  <si>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</si>
  <si>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</si>
  <si>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</si>
  <si>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</si>
  <si>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</si>
  <si>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</si>
  <si>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</si>
  <si>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</si>
  <si>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</si>
  <si>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</si>
  <si>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</si>
  <si>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</si>
  <si>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</si>
  <si>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</si>
  <si>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</si>
  <si>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</si>
  <si>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</si>
  <si>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</si>
  <si>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</si>
  <si>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</si>
  <si>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</si>
  <si>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</si>
  <si>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</si>
  <si>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</si>
  <si>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</si>
  <si>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</si>
  <si>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</si>
  <si>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</si>
  <si>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</si>
  <si>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</si>
  <si>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</si>
  <si>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</si>
  <si>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</si>
  <si>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</si>
  <si>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</si>
  <si>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</si>
  <si>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</si>
  <si>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</si>
  <si>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</si>
  <si>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</si>
  <si>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</si>
  <si>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</si>
  <si>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</si>
  <si>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</si>
  <si>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</si>
  <si>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</si>
  <si>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</si>
  <si>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</si>
  <si>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</si>
  <si>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</si>
  <si>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</si>
  <si>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</si>
  <si>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</si>
  <si>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</si>
  <si>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</si>
  <si>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</si>
  <si>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</si>
  <si>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</si>
  <si>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</si>
  <si>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</si>
  <si>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</si>
  <si>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</si>
  <si>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</si>
  <si>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</si>
  <si>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</si>
  <si>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</si>
  <si>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</si>
  <si>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</si>
  <si>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</si>
  <si>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</si>
  <si>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</si>
  <si>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</si>
  <si>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</si>
  <si>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</si>
  <si>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</si>
  <si>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</si>
  <si>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</si>
  <si>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</si>
  <si>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</si>
  <si>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</si>
  <si>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</si>
  <si>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</si>
  <si>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</si>
  <si>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</si>
  <si>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</si>
  <si>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</si>
  <si>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</si>
  <si>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</si>
  <si>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</si>
  <si>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</si>
  <si>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</si>
  <si>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</si>
  <si>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</si>
  <si>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</si>
  <si>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</si>
  <si>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</si>
  <si>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</si>
  <si>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</si>
  <si>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</si>
  <si>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</si>
  <si>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</si>
  <si>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</si>
  <si>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</si>
  <si>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</si>
  <si>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</si>
  <si>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</si>
  <si>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</si>
  <si>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</si>
  <si>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</si>
  <si>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</si>
  <si>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</si>
  <si>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</si>
  <si>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</si>
  <si>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</si>
  <si>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</si>
  <si>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</si>
  <si>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</si>
  <si>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</si>
  <si>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</si>
  <si>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</si>
  <si>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</si>
  <si>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</si>
  <si>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</si>
  <si>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</si>
  <si>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</si>
  <si>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</si>
  <si>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</si>
  <si>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</si>
  <si>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</si>
  <si>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</si>
  <si>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</si>
  <si>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</si>
  <si>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</si>
  <si>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</si>
  <si>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</si>
  <si>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</si>
  <si>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</si>
  <si>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</si>
  <si>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</si>
  <si>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</si>
  <si>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</si>
  <si>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</si>
  <si>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</si>
  <si>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</si>
  <si>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</si>
  <si>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</si>
  <si>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</si>
  <si>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</si>
  <si>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</si>
  <si>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</si>
  <si>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</si>
  <si>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</si>
  <si>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</si>
  <si>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</si>
  <si>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</si>
  <si>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</si>
  <si>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</si>
  <si>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</si>
  <si>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</si>
  <si>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</si>
  <si>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</si>
  <si>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</si>
  <si>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</si>
  <si>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</si>
  <si>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</si>
  <si>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</si>
  <si>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</si>
  <si>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</si>
  <si>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</si>
  <si>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</si>
  <si>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</si>
  <si>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</si>
  <si>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</si>
  <si>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</si>
  <si>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</si>
  <si>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</si>
  <si>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</si>
  <si>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</si>
  <si>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</si>
  <si>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</si>
  <si>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</si>
  <si>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</si>
  <si>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</si>
  <si>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</si>
  <si>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</si>
  <si>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</si>
  <si>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</si>
  <si>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</si>
  <si>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</si>
  <si>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</si>
  <si>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</si>
  <si>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</si>
  <si>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</si>
  <si>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</si>
  <si>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</si>
  <si>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</si>
  <si>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</si>
  <si>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</si>
  <si>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</si>
  <si>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</si>
  <si>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</si>
  <si>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</si>
  <si>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</si>
  <si>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</si>
  <si>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</si>
  <si>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</si>
  <si>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</si>
  <si>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</si>
  <si>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</si>
  <si>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</si>
  <si>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</si>
  <si>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</si>
  <si>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</si>
  <si>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</si>
  <si>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</si>
  <si>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</si>
  <si>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</si>
  <si>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</si>
  <si>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</si>
  <si>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</si>
  <si>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</si>
  <si>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</si>
  <si>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</si>
  <si>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</si>
  <si>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</si>
  <si>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</si>
  <si>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</si>
  <si>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</si>
  <si>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</si>
  <si>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</si>
  <si>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</si>
  <si>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</si>
  <si>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</si>
  <si>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</si>
  <si>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</si>
  <si>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</si>
  <si>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</si>
  <si>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</si>
  <si>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</si>
  <si>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</si>
  <si>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</si>
  <si>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</si>
  <si>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</si>
  <si>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</si>
  <si>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</si>
  <si>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</si>
  <si>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</si>
  <si>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</si>
  <si>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</si>
  <si>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</si>
  <si>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</si>
  <si>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</si>
  <si>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</si>
  <si>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</si>
  <si>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</si>
  <si>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</si>
  <si>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</si>
  <si>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</si>
  <si>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</si>
  <si>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</si>
  <si>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</si>
  <si>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</si>
  <si>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</si>
  <si>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</si>
  <si>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</si>
  <si>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</si>
  <si>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</si>
  <si>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</si>
  <si>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</si>
  <si>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</si>
  <si>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</si>
  <si>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</si>
  <si>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</si>
  <si>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</si>
  <si>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</si>
  <si>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</si>
  <si>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</si>
  <si>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</si>
  <si>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</si>
  <si>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</si>
  <si>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</si>
  <si>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</si>
  <si>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</si>
  <si>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</si>
  <si>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</si>
  <si>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</si>
  <si>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</si>
  <si>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</si>
  <si>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</si>
  <si>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</si>
  <si>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</si>
  <si>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</si>
  <si>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</si>
  <si>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</si>
  <si>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</si>
  <si>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</si>
  <si>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</si>
  <si>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</si>
  <si>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</si>
  <si>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</si>
  <si>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</si>
  <si>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</si>
  <si>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</si>
  <si>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</si>
  <si>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</si>
  <si>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</si>
  <si>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</si>
  <si>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</si>
  <si>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</si>
  <si>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</si>
  <si>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</si>
  <si>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</si>
  <si>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</si>
  <si>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</si>
  <si>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</si>
  <si>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</si>
  <si>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</si>
  <si>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</si>
  <si>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</si>
  <si>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</si>
  <si>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</si>
  <si>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</si>
  <si>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</si>
  <si>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</si>
  <si>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</si>
  <si>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</si>
  <si>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</si>
  <si>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</si>
  <si>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</si>
  <si>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</si>
  <si>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</si>
  <si>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</si>
  <si>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</si>
  <si>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</si>
  <si>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</si>
  <si>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</si>
  <si>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</si>
  <si>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</si>
  <si>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</si>
  <si>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</si>
  <si>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</si>
  <si>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</si>
  <si>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</si>
  <si>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</si>
  <si>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</si>
  <si>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</si>
  <si>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</si>
  <si>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</si>
  <si>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</si>
  <si>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</si>
  <si>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</si>
  <si>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</si>
  <si>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</si>
  <si>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</si>
  <si>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</si>
  <si>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</si>
  <si>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</si>
  <si>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</si>
  <si>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</si>
  <si>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</si>
  <si>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</si>
  <si>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</si>
  <si>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</si>
  <si>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</si>
  <si>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</si>
  <si>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</si>
  <si>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</si>
  <si>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</si>
  <si>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</si>
  <si>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</si>
  <si>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</si>
  <si>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</si>
  <si>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</si>
  <si>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</si>
  <si>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</si>
  <si>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</si>
  <si>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</si>
  <si>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</si>
  <si>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</si>
  <si>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</si>
  <si>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</si>
  <si>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</si>
  <si>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</si>
  <si>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</si>
  <si>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</si>
  <si>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</si>
  <si>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</si>
  <si>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</si>
  <si>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</si>
  <si>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</si>
  <si>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</si>
  <si>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</si>
  <si>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</si>
  <si>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</si>
  <si>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</si>
  <si>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</si>
  <si>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</si>
  <si>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</si>
  <si>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</si>
  <si>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</si>
  <si>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</si>
  <si>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</si>
  <si>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</si>
  <si>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</si>
  <si>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</si>
  <si>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</si>
  <si>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</si>
  <si>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</si>
  <si>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</si>
  <si>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</si>
  <si>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</si>
  <si>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</si>
  <si>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</si>
  <si>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</si>
  <si>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</si>
  <si>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</si>
  <si>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</si>
  <si>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</si>
  <si>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</si>
  <si>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</si>
  <si>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</si>
  <si>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</si>
  <si>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</si>
  <si>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</si>
  <si>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</si>
  <si>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</si>
  <si>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</si>
  <si>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</si>
  <si>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</si>
  <si>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</si>
  <si>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</si>
  <si>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</si>
  <si>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</si>
  <si>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</si>
  <si>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</si>
  <si>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</si>
  <si>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</si>
  <si>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</si>
  <si>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</si>
  <si>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</si>
  <si>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</si>
  <si>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</si>
  <si>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</si>
  <si>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</si>
  <si>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</si>
  <si>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</si>
  <si>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</si>
  <si>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</si>
  <si>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</si>
  <si>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</si>
  <si>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</si>
  <si>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</si>
  <si>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</si>
  <si>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</si>
  <si>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</si>
  <si>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</si>
  <si>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</si>
  <si>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</si>
  <si>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</si>
  <si>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</si>
  <si>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</si>
  <si>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</si>
  <si>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</si>
  <si>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</si>
  <si>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</si>
  <si>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</si>
  <si>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</si>
  <si>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</si>
  <si>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</si>
  <si>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</si>
  <si>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</si>
  <si>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</si>
  <si>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</si>
  <si>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</si>
  <si>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</si>
  <si>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</si>
  <si>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</si>
  <si>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</si>
  <si>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</si>
  <si>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</si>
  <si>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</si>
  <si>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</si>
  <si>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</si>
  <si>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</si>
  <si>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</si>
  <si>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</si>
  <si>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</si>
  <si>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</si>
  <si>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</si>
  <si>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</si>
  <si>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</si>
  <si>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</si>
  <si>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</si>
  <si>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</si>
  <si>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</si>
  <si>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</si>
  <si>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</si>
  <si>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</si>
  <si>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</si>
  <si>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</si>
  <si>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</si>
  <si>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</si>
  <si>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</si>
  <si>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</si>
  <si>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</si>
  <si>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</si>
  <si>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</si>
  <si>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</si>
  <si>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</si>
  <si>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</si>
  <si>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</si>
  <si>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</si>
  <si>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</si>
  <si>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</si>
  <si>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</si>
  <si>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</si>
  <si>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</si>
  <si>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</si>
  <si>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</si>
  <si>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</si>
  <si>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</si>
  <si>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</si>
  <si>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</si>
  <si>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</si>
  <si>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</si>
  <si>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</si>
  <si>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</si>
  <si>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</si>
  <si>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</si>
  <si>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</si>
  <si>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</si>
  <si>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</si>
  <si>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</si>
  <si>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</si>
  <si>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</si>
  <si>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</si>
  <si>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</si>
  <si>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</si>
  <si>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</si>
  <si>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</si>
  <si>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</si>
  <si>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</si>
  <si>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</si>
  <si>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</si>
  <si>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</si>
  <si>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</si>
  <si>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</si>
  <si>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</si>
  <si>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</si>
  <si>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</si>
  <si>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</si>
  <si>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</si>
  <si>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</si>
  <si>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</si>
  <si>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</si>
  <si>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</si>
  <si>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</si>
  <si>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</si>
  <si>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</si>
  <si>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</si>
  <si>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</si>
  <si>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</si>
  <si>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</si>
  <si>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</si>
  <si>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</si>
  <si>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</si>
  <si>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</si>
  <si>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</si>
  <si>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</si>
  <si>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</si>
  <si>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</si>
  <si>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</si>
  <si>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</si>
  <si>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</si>
  <si>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</si>
  <si>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</si>
  <si>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</si>
  <si>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</si>
  <si>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</si>
  <si>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</si>
  <si>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</si>
  <si>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</si>
  <si>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</si>
  <si>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</si>
  <si>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</si>
  <si>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</si>
  <si>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</si>
  <si>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</si>
  <si>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</si>
  <si>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</si>
  <si>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</si>
  <si>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</si>
  <si>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</si>
  <si>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</si>
  <si>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</si>
  <si>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</si>
  <si>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</si>
  <si>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</si>
  <si>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</si>
  <si>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</si>
  <si>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</si>
  <si>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</si>
  <si>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</si>
  <si>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</si>
  <si>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</si>
  <si>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</si>
  <si>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</si>
  <si>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</si>
  <si>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</si>
  <si>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</si>
  <si>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</si>
  <si>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</si>
  <si>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</si>
  <si>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</si>
  <si>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</si>
  <si>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</si>
  <si>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</si>
  <si>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</si>
  <si>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</si>
  <si>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</si>
  <si>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</si>
  <si>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</si>
  <si>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</si>
  <si>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</si>
  <si>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</si>
  <si>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</si>
  <si>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</si>
  <si>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</si>
  <si>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</si>
  <si>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</si>
  <si>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</si>
  <si>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</si>
  <si>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</si>
  <si>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</si>
  <si>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</si>
  <si>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</si>
  <si>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</si>
  <si>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</si>
  <si>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</si>
  <si>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</si>
  <si>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</si>
  <si>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</si>
  <si>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</si>
  <si>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</si>
  <si>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</si>
  <si>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</si>
  <si>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</si>
  <si>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</si>
  <si>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</si>
  <si>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</si>
  <si>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</si>
  <si>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</si>
  <si>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</si>
  <si>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</si>
  <si>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</si>
  <si>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</si>
  <si>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</si>
  <si>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</si>
  <si>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</si>
  <si>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</si>
  <si>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</si>
  <si>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</si>
  <si>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</si>
  <si>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</si>
  <si>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</si>
  <si>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</si>
  <si>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</si>
  <si>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</si>
  <si>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</si>
  <si>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</si>
  <si>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</si>
  <si>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</si>
  <si>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</si>
  <si>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</si>
  <si>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</si>
  <si>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</si>
  <si>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</si>
  <si>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</si>
  <si>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</si>
  <si>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</si>
  <si>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</si>
  <si>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</si>
  <si>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</si>
  <si>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</si>
  <si>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</si>
  <si>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</si>
  <si>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</si>
  <si>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</si>
  <si>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</si>
  <si>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</si>
  <si>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</si>
  <si>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</si>
  <si>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</si>
  <si>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</si>
  <si>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</si>
  <si>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</si>
  <si>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</si>
  <si>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</si>
  <si>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</si>
  <si>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</si>
  <si>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</si>
  <si>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</si>
  <si>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</si>
  <si>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</si>
  <si>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</si>
  <si>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</si>
  <si>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</si>
  <si>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</si>
  <si>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</si>
  <si>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</si>
  <si>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</si>
  <si>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</si>
  <si>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</si>
  <si>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</si>
  <si>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</si>
  <si>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</si>
  <si>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</si>
  <si>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</si>
  <si>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</si>
  <si>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</si>
  <si>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</si>
  <si>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</si>
  <si>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</si>
  <si>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</si>
  <si>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</si>
  <si>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</si>
  <si>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</si>
  <si>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</si>
  <si>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</si>
  <si>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</si>
  <si>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</si>
  <si>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</si>
  <si>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</si>
  <si>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</si>
  <si>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</si>
  <si>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</si>
  <si>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</si>
  <si>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</si>
  <si>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</si>
  <si>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</si>
  <si>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</si>
  <si>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</si>
  <si>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</si>
  <si>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</si>
  <si>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</si>
  <si>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</si>
  <si>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</si>
  <si>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</si>
  <si>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</si>
  <si>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</si>
  <si>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</si>
  <si>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</si>
  <si>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</si>
  <si>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</si>
  <si>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</si>
  <si>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</si>
  <si>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</si>
  <si>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</si>
  <si>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</si>
  <si>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</si>
  <si>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</si>
  <si>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</si>
  <si>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</si>
  <si>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</si>
  <si>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</si>
  <si>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</si>
  <si>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</si>
  <si>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</si>
  <si>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</si>
  <si>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</si>
  <si>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</si>
  <si>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</si>
  <si>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</si>
  <si>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</si>
  <si>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</si>
  <si>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</si>
  <si>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</si>
  <si>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</si>
  <si>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</si>
  <si>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</si>
  <si>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</si>
  <si>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</si>
  <si>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</si>
  <si>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</si>
  <si>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</si>
  <si>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</si>
  <si>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</si>
  <si>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</si>
  <si>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</si>
  <si>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</si>
  <si>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</si>
  <si>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</si>
  <si>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</si>
  <si>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</si>
  <si>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</si>
  <si>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</si>
  <si>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</si>
  <si>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</si>
  <si>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</si>
  <si>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</si>
  <si>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</si>
  <si>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</si>
  <si>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</si>
  <si>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</si>
  <si>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</si>
  <si>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</si>
  <si>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</si>
  <si>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</si>
  <si>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</si>
  <si>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</si>
  <si>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</si>
  <si>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</si>
  <si>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</si>
  <si>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</si>
  <si>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</si>
  <si>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</si>
  <si>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</si>
  <si>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</si>
  <si>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</si>
  <si>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</si>
  <si>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</si>
  <si>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</si>
  <si>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</si>
  <si>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</si>
  <si>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</si>
  <si>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</si>
  <si>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</si>
  <si>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</si>
  <si>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</si>
  <si>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</si>
  <si>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</si>
  <si>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</si>
  <si>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</si>
  <si>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</si>
  <si>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</si>
  <si>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</si>
  <si>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</si>
  <si>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</si>
  <si>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</si>
  <si>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</si>
  <si>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</si>
  <si>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</si>
  <si>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</si>
  <si>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</si>
  <si>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</si>
  <si>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</si>
  <si>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</si>
  <si>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</si>
  <si>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</si>
  <si>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</si>
  <si>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</si>
  <si>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</si>
  <si>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</si>
  <si>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</si>
  <si>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</si>
  <si>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</si>
  <si>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</si>
  <si>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</si>
  <si>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</si>
  <si>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</si>
  <si>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</si>
  <si>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</si>
  <si>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</si>
  <si>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</si>
  <si>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</si>
  <si>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</si>
  <si>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</si>
  <si>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</si>
  <si>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</si>
  <si>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</si>
  <si>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</si>
  <si>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</si>
  <si>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</si>
  <si>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</si>
  <si>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</si>
  <si>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</si>
  <si>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</si>
  <si>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</si>
  <si>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</si>
  <si>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</si>
  <si>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</si>
  <si>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</si>
  <si>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</si>
  <si>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</si>
  <si>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</si>
  <si>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</si>
  <si>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</si>
  <si>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</si>
  <si>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</si>
  <si>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</si>
  <si>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</si>
  <si>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</si>
  <si>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</si>
  <si>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</si>
  <si>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</si>
  <si>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</si>
  <si>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</si>
  <si>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</si>
  <si>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</si>
  <si>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</si>
  <si>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</si>
  <si>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</si>
  <si>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</si>
  <si>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</si>
  <si>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</si>
  <si>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</si>
  <si>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</si>
  <si>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</si>
  <si>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</si>
  <si>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</si>
  <si>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</si>
  <si>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</si>
  <si>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</si>
  <si>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</si>
  <si>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</si>
  <si>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</si>
  <si>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</si>
  <si>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</si>
  <si>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</si>
  <si>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</si>
  <si>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</si>
  <si>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</si>
  <si>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</si>
  <si>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</si>
  <si>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</si>
  <si>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</si>
  <si>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</si>
  <si>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</si>
  <si>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</si>
  <si>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</si>
  <si>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</si>
  <si>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</si>
  <si>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</si>
  <si>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</si>
  <si>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</si>
  <si>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</si>
  <si>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</si>
  <si>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</si>
  <si>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</si>
  <si>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</si>
  <si>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</si>
  <si>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</si>
  <si>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</si>
  <si>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</si>
  <si>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</si>
  <si>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</si>
  <si>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</si>
  <si>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</si>
  <si>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</si>
  <si>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</si>
  <si>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</si>
  <si>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</si>
  <si>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</si>
  <si>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</si>
  <si>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</si>
  <si>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</si>
  <si>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</si>
  <si>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</si>
  <si>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</si>
  <si>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</si>
  <si>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</si>
  <si>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</si>
  <si>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</si>
  <si>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</si>
  <si>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</si>
  <si>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</si>
  <si>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</si>
  <si>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</si>
  <si>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</si>
  <si>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</si>
  <si>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</si>
  <si>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</si>
  <si>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</si>
  <si>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</si>
  <si>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</si>
  <si>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</si>
  <si>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</si>
  <si>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</si>
  <si>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</si>
  <si>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</si>
  <si>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</si>
  <si>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</si>
  <si>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</si>
  <si>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</si>
  <si>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</si>
  <si>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</si>
  <si>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</si>
  <si>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</si>
  <si>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</si>
  <si>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</si>
  <si>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</si>
  <si>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</si>
  <si>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</si>
  <si>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</si>
  <si>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</si>
  <si>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</si>
  <si>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</si>
  <si>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</si>
  <si>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</si>
  <si>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</si>
  <si>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</si>
  <si>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</si>
  <si>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</si>
  <si>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</si>
  <si>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</si>
  <si>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</si>
  <si>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</si>
  <si>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</si>
  <si>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</si>
  <si>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</si>
  <si>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</si>
  <si>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</si>
  <si>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</si>
  <si>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</si>
  <si>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</si>
  <si>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</si>
  <si>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</si>
  <si>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</si>
  <si>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</si>
  <si>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</si>
  <si>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</si>
  <si>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</si>
  <si>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</si>
  <si>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</si>
  <si>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</si>
  <si>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</si>
  <si>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</si>
  <si>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</si>
  <si>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</si>
  <si>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</si>
  <si>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</si>
  <si>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</si>
  <si>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</si>
  <si>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</si>
  <si>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</si>
  <si>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</si>
  <si>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</si>
  <si>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</si>
  <si>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</si>
  <si>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</si>
  <si>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</si>
  <si>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</si>
  <si>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</si>
  <si>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</si>
  <si>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</si>
  <si>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</si>
  <si>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</si>
  <si>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</si>
  <si>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</si>
  <si>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</si>
  <si>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</si>
  <si>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</si>
  <si>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</si>
  <si>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</si>
  <si>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</si>
  <si>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</si>
  <si>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</si>
  <si>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</si>
  <si>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</si>
  <si>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</si>
  <si>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</si>
  <si>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</si>
  <si>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</si>
  <si>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</si>
  <si>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</si>
  <si>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</si>
  <si>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</si>
  <si>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</si>
  <si>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</si>
  <si>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</si>
  <si>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</si>
  <si>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</si>
  <si>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</si>
  <si>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</si>
  <si>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</si>
  <si>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</si>
  <si>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</si>
  <si>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</si>
  <si>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</si>
  <si>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</si>
  <si>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</si>
  <si>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</si>
  <si>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</si>
  <si>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</si>
  <si>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</si>
  <si>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</si>
  <si>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</si>
  <si>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</si>
  <si>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</si>
  <si>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</si>
  <si>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</si>
  <si>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</si>
  <si>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</si>
  <si>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</si>
  <si>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</si>
  <si>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</si>
  <si>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</si>
  <si>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</si>
  <si>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</si>
  <si>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</si>
  <si>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</si>
  <si>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</si>
  <si>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</si>
  <si>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</si>
  <si>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</si>
  <si>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</si>
  <si>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</si>
  <si>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</si>
  <si>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</si>
  <si>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</si>
  <si>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</si>
  <si>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</si>
  <si>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</si>
  <si>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</si>
  <si>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</si>
  <si>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</si>
  <si>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</si>
  <si>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</si>
  <si>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</si>
  <si>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</si>
  <si>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</si>
  <si>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</si>
  <si>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</si>
  <si>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</si>
  <si>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</si>
  <si>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</si>
  <si>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</si>
  <si>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</si>
  <si>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</si>
  <si>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</si>
  <si>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</si>
  <si>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</si>
  <si>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</si>
  <si>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</si>
  <si>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</si>
  <si>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</si>
  <si>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</si>
  <si>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</si>
  <si>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</si>
  <si>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</si>
  <si>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</si>
  <si>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</si>
  <si>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</si>
  <si>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</si>
  <si>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</si>
  <si>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</si>
  <si>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</si>
  <si>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</si>
  <si>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</si>
  <si>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</si>
  <si>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</si>
  <si>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</si>
  <si>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</si>
  <si>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</si>
  <si>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</si>
  <si>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</si>
  <si>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</si>
  <si>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</si>
  <si>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</si>
  <si>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</si>
  <si>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</si>
  <si>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</si>
  <si>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</si>
  <si>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</si>
  <si>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</si>
  <si>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</si>
  <si>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</si>
  <si>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</si>
  <si>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</si>
  <si>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</si>
  <si>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</si>
  <si>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</si>
  <si>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</si>
  <si>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</si>
  <si>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</si>
  <si>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</si>
  <si>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</si>
  <si>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</si>
  <si>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</si>
  <si>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</si>
  <si>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</si>
  <si>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</si>
  <si>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</si>
  <si>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</si>
  <si>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</si>
  <si>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</si>
  <si>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</si>
  <si>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</si>
  <si>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</si>
  <si>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</si>
  <si>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</si>
  <si>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</si>
  <si>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</si>
  <si>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</si>
  <si>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</si>
  <si>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</si>
  <si>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</si>
  <si>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</si>
  <si>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</si>
  <si>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</si>
  <si>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</si>
  <si>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</si>
  <si>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</si>
  <si>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</si>
  <si>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</si>
  <si>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</si>
  <si>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</si>
  <si>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</si>
  <si>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</si>
  <si>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</si>
  <si>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</si>
  <si>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</si>
  <si>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</si>
  <si>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</si>
  <si>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</si>
  <si>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</si>
  <si>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</si>
  <si>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</si>
  <si>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</si>
  <si>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</si>
  <si>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</si>
  <si>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</si>
  <si>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</si>
  <si>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</si>
  <si>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</si>
  <si>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</si>
  <si>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</si>
  <si>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</si>
  <si>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</si>
  <si>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</si>
  <si>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</si>
  <si>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</si>
  <si>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</si>
  <si>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</si>
  <si>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</si>
  <si>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</si>
  <si>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</si>
  <si>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</si>
  <si>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</si>
  <si>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</si>
  <si>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</si>
  <si>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</si>
  <si>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</si>
  <si>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</si>
  <si>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</si>
  <si>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</si>
  <si>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</si>
  <si>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</si>
  <si>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</si>
  <si>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</si>
  <si>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</si>
  <si>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</si>
  <si>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</si>
  <si>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</si>
  <si>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</si>
  <si>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</si>
  <si>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</si>
  <si>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</si>
  <si>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</si>
  <si>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</si>
  <si>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</si>
  <si>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</si>
  <si>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</si>
  <si>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</si>
  <si>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</si>
  <si>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</si>
  <si>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</si>
  <si>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</si>
  <si>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</si>
  <si>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</si>
  <si>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</si>
  <si>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</si>
  <si>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</si>
  <si>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</si>
  <si>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</si>
  <si>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</si>
  <si>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</si>
  <si>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</si>
  <si>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</si>
  <si>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</si>
  <si>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</si>
  <si>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</si>
  <si>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</si>
  <si>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</si>
  <si>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</si>
  <si>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</si>
  <si>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</si>
  <si>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</si>
  <si>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</si>
  <si>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</si>
  <si>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</si>
  <si>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</si>
  <si>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</si>
  <si>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</si>
  <si>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</si>
  <si>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</si>
  <si>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</si>
  <si>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</si>
  <si>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</si>
  <si>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</si>
  <si>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</si>
  <si>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</si>
  <si>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</si>
  <si>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</si>
  <si>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</si>
  <si>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</si>
  <si>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</si>
  <si>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</si>
  <si>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</si>
  <si>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</si>
  <si>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</si>
  <si>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</si>
  <si>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</si>
  <si>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</si>
  <si>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</si>
  <si>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</si>
  <si>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</si>
  <si>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</si>
  <si>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</si>
  <si>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</si>
  <si>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</si>
  <si>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</si>
  <si>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</si>
  <si>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</si>
  <si>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</si>
  <si>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</si>
  <si>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</si>
  <si>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</si>
  <si>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</si>
  <si>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</si>
  <si>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</si>
  <si>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</si>
  <si>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</si>
  <si>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</si>
  <si>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</si>
  <si>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</si>
  <si>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</si>
  <si>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</si>
  <si>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</si>
  <si>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</si>
  <si>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</si>
  <si>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</si>
  <si>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</si>
  <si>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</si>
  <si>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</si>
  <si>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</si>
  <si>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</si>
  <si>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</si>
  <si>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</si>
  <si>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</si>
  <si>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</si>
  <si>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</si>
  <si>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</si>
  <si>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</si>
  <si>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</si>
  <si>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</si>
  <si>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</si>
  <si>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</si>
  <si>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</si>
  <si>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</si>
  <si>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</si>
  <si>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</si>
  <si>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</si>
  <si>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</si>
  <si>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</si>
  <si>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</si>
  <si>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</si>
  <si>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</si>
  <si>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</si>
  <si>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</si>
  <si>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</si>
  <si>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</si>
  <si>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</si>
  <si>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</si>
  <si>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</si>
  <si>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</si>
  <si>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</si>
  <si>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</si>
  <si>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</si>
  <si>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</si>
  <si>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</si>
  <si>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</si>
  <si>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</si>
  <si>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</si>
  <si>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</si>
  <si>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</si>
  <si>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</si>
  <si>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</si>
  <si>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</si>
  <si>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</si>
  <si>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</si>
  <si>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</si>
  <si>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</si>
  <si>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</si>
  <si>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</si>
  <si>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</si>
  <si>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</si>
  <si>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</si>
  <si>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</si>
  <si>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</si>
  <si>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</si>
  <si>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</si>
  <si>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</si>
  <si>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</si>
  <si>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</si>
  <si>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</si>
  <si>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</si>
  <si>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</si>
  <si>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</si>
  <si>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</si>
  <si>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</si>
  <si>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</si>
  <si>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</si>
  <si>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</si>
  <si>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</si>
  <si>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</si>
  <si>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</si>
  <si>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</si>
  <si>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</si>
  <si>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</si>
  <si>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</si>
  <si>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</si>
  <si>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</si>
  <si>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</si>
  <si>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</si>
  <si>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</si>
  <si>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</si>
  <si>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</si>
  <si>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</si>
  <si>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</si>
  <si>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</si>
  <si>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</si>
  <si>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</si>
  <si>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</si>
  <si>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</si>
  <si>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</si>
  <si>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</si>
  <si>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</si>
  <si>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</si>
  <si>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</si>
  <si>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</si>
  <si>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</si>
  <si>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</si>
  <si>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</si>
  <si>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</si>
  <si>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</si>
  <si>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</si>
  <si>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</si>
  <si>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</si>
  <si>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</si>
  <si>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</si>
  <si>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</si>
  <si>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</si>
  <si>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</si>
  <si>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</si>
  <si>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</si>
  <si>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</si>
  <si>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</si>
  <si>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</si>
  <si>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</si>
  <si>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</si>
  <si>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</si>
  <si>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</si>
  <si>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</si>
  <si>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</si>
  <si>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</si>
  <si>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</si>
  <si>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</si>
  <si>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</si>
  <si>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</si>
  <si>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</si>
  <si>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</si>
  <si>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</si>
  <si>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</si>
  <si>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</si>
  <si>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</si>
  <si>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</si>
  <si>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</si>
  <si>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</si>
  <si>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</si>
  <si>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</si>
  <si>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</si>
  <si>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</si>
  <si>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</si>
  <si>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</si>
  <si>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</si>
  <si>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</si>
  <si>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</si>
  <si>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</si>
  <si>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</si>
  <si>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</si>
  <si>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</si>
  <si>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</si>
  <si>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</si>
  <si>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</si>
  <si>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</si>
  <si>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</si>
  <si>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</si>
  <si>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</si>
  <si>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</si>
  <si>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</si>
  <si>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</si>
  <si>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</si>
  <si>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</si>
  <si>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</si>
  <si>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</si>
  <si>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</si>
  <si>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</si>
  <si>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</si>
  <si>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</si>
  <si>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</si>
  <si>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</si>
  <si>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</si>
  <si>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</si>
  <si>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</si>
  <si>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</si>
  <si>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</si>
  <si>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</si>
  <si>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</si>
  <si>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</si>
  <si>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</si>
  <si>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</si>
  <si>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</si>
  <si>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</si>
  <si>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</si>
  <si>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</si>
  <si>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</si>
  <si>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</si>
  <si>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</si>
  <si>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</si>
  <si>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</si>
  <si>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</si>
  <si>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</si>
  <si>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</si>
  <si>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</si>
  <si>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</si>
  <si>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</si>
  <si>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</si>
  <si>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</si>
  <si>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</si>
  <si>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</si>
  <si>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</si>
  <si>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</si>
  <si>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</si>
  <si>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</si>
  <si>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</si>
  <si>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</si>
  <si>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</si>
  <si>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</si>
  <si>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</si>
  <si>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</si>
  <si>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</si>
  <si>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</si>
  <si>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</si>
  <si>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</si>
  <si>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</si>
  <si>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</si>
  <si>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</si>
  <si>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</si>
  <si>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</si>
  <si>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</si>
  <si>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</si>
  <si>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</si>
  <si>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</si>
  <si>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</si>
  <si>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</si>
  <si>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</si>
  <si>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</si>
  <si>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</si>
  <si>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</si>
  <si>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</si>
  <si>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</si>
  <si>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</si>
  <si>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</si>
  <si>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</si>
  <si>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</si>
  <si>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</si>
  <si>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</si>
  <si>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</si>
  <si>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</si>
  <si>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</si>
  <si>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</si>
  <si>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</si>
  <si>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</si>
  <si>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</si>
  <si>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</si>
  <si>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</si>
  <si>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</si>
  <si>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</si>
  <si>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</si>
  <si>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</si>
  <si>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</si>
  <si>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</si>
  <si>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</si>
  <si>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</si>
  <si>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</si>
  <si>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</si>
  <si>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</si>
  <si>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</si>
  <si>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</si>
  <si>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</si>
  <si>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</si>
  <si>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</si>
  <si>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</si>
  <si>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</si>
  <si>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</si>
  <si>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</si>
  <si>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</si>
  <si>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</si>
  <si>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</si>
  <si>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</si>
  <si>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</si>
  <si>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</si>
  <si>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</si>
  <si>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</si>
  <si>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</si>
  <si>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</si>
  <si>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</si>
  <si>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</si>
  <si>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</si>
  <si>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</si>
  <si>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</si>
  <si>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</si>
  <si>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</si>
  <si>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</si>
  <si>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</si>
  <si>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</si>
  <si>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</si>
  <si>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</si>
  <si>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</si>
  <si>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</si>
  <si>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</si>
  <si>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</si>
  <si>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</si>
  <si>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</si>
  <si>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</si>
  <si>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</si>
  <si>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</si>
  <si>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</si>
  <si>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</si>
  <si>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</si>
  <si>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</si>
  <si>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</si>
  <si>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</si>
  <si>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</si>
  <si>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</si>
  <si>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</si>
  <si>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</si>
  <si>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</si>
  <si>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</si>
  <si>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</si>
  <si>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</si>
  <si>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</si>
  <si>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</si>
  <si>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</si>
  <si>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</si>
  <si>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</si>
  <si>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</si>
  <si>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</si>
  <si>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</si>
  <si>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</si>
  <si>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</si>
  <si>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</si>
  <si>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</si>
  <si>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</si>
  <si>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</si>
  <si>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</si>
  <si>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</si>
  <si>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</si>
  <si>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</si>
  <si>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</si>
  <si>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</si>
  <si>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</si>
  <si>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</si>
  <si>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</si>
  <si>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</si>
  <si>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</si>
  <si>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</si>
  <si>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</si>
  <si>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</si>
  <si>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</si>
  <si>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</si>
  <si>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</si>
  <si>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</si>
  <si>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</si>
  <si>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</si>
  <si>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</si>
  <si>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</si>
  <si>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</si>
  <si>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</si>
  <si>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</si>
  <si>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</si>
  <si>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</si>
  <si>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</si>
  <si>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</si>
  <si>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</si>
  <si>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</si>
  <si>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</si>
  <si>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</si>
  <si>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</si>
  <si>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</si>
  <si>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</si>
  <si>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</si>
  <si>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</si>
  <si>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</si>
  <si>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</si>
  <si>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</si>
  <si>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</si>
  <si>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</si>
  <si>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</si>
  <si>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</si>
  <si>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</si>
  <si>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</si>
  <si>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</si>
  <si>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</si>
  <si>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</si>
  <si>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</si>
  <si>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</si>
  <si>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</si>
  <si>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</si>
  <si>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</si>
  <si>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</si>
  <si>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</si>
  <si>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</si>
  <si>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</si>
  <si>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</si>
  <si>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</si>
  <si>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</si>
  <si>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</si>
  <si>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</si>
  <si>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</si>
  <si>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</si>
  <si>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</si>
  <si>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</si>
  <si>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</si>
  <si>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</si>
  <si>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</si>
  <si>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</si>
  <si>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</si>
  <si>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</si>
  <si>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</si>
  <si>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</si>
  <si>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</si>
  <si>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</si>
  <si>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</si>
  <si>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</si>
  <si>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</si>
  <si>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</si>
  <si>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</si>
  <si>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</si>
  <si>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</si>
  <si>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</si>
  <si>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</si>
  <si>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</si>
  <si>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</si>
  <si>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</si>
  <si>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</si>
  <si>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</si>
  <si>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</si>
  <si>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</si>
  <si>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</si>
  <si>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</si>
  <si>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</si>
  <si>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</si>
  <si>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</si>
  <si>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</si>
  <si>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</si>
  <si>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</si>
  <si>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</si>
  <si>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</si>
  <si>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</si>
  <si>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</si>
  <si>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</si>
  <si>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</si>
  <si>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</si>
  <si>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</si>
  <si>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</si>
  <si>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</si>
  <si>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</si>
  <si>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</si>
  <si>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</si>
  <si>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</si>
  <si>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</si>
  <si>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</si>
  <si>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</si>
  <si>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</si>
  <si>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</si>
  <si>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</si>
  <si>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</si>
  <si>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</si>
  <si>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</si>
  <si>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</si>
  <si>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</si>
  <si>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</si>
  <si>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</si>
  <si>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</si>
  <si>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</si>
  <si>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</si>
  <si>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</si>
  <si>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</si>
  <si>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</si>
  <si>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</si>
  <si>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</si>
  <si>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</si>
  <si>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</si>
  <si>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</si>
  <si>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</si>
  <si>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</si>
  <si>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</si>
  <si>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</si>
  <si>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</si>
  <si>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</si>
  <si>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</si>
  <si>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</si>
  <si>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</si>
  <si>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</si>
  <si>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</si>
  <si>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</si>
  <si>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</si>
  <si>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</si>
  <si>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</si>
  <si>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</si>
  <si>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</si>
  <si>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</si>
  <si>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</si>
  <si>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</si>
  <si>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</si>
  <si>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</si>
  <si>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</si>
  <si>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</si>
  <si>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</si>
  <si>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</si>
  <si>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</si>
  <si>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</si>
  <si>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</si>
  <si>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</si>
  <si>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</si>
  <si>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</si>
  <si>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</si>
  <si>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</si>
  <si>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</si>
  <si>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</si>
  <si>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</si>
  <si>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</si>
  <si>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</si>
  <si>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</si>
  <si>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</si>
  <si>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</si>
  <si>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</si>
  <si>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</si>
  <si>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</si>
  <si>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</si>
  <si>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</si>
  <si>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</si>
  <si>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</si>
  <si>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</si>
  <si>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</si>
  <si>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</si>
  <si>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</si>
  <si>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</si>
  <si>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</si>
  <si>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</si>
  <si>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</si>
  <si>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</si>
  <si>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</si>
  <si>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</si>
  <si>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</si>
  <si>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</si>
  <si>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</si>
  <si>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</si>
  <si>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</si>
  <si>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</si>
  <si>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</si>
  <si>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</si>
  <si>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</si>
  <si>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</si>
  <si>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</si>
  <si>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</si>
  <si>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</si>
  <si>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</si>
  <si>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</si>
  <si>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</si>
  <si>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</si>
  <si>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</si>
  <si>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</si>
  <si>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</si>
  <si>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</si>
  <si>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</si>
  <si>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</si>
  <si>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</si>
  <si>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</si>
  <si>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</si>
  <si>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</si>
  <si>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</si>
  <si>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</si>
  <si>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</si>
  <si>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</si>
  <si>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</si>
  <si>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</si>
  <si>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</si>
  <si>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</si>
  <si>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</si>
  <si>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</si>
  <si>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</si>
  <si>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</si>
  <si>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</si>
  <si>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</si>
  <si>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</si>
  <si>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</si>
  <si>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</si>
  <si>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</si>
  <si>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</si>
  <si>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</si>
  <si>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</si>
  <si>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</si>
  <si>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</si>
  <si>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</si>
  <si>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</si>
  <si>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</si>
  <si>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</si>
  <si>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</si>
  <si>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</si>
  <si>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</si>
  <si>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</si>
  <si>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</si>
  <si>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</si>
  <si>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</si>
  <si>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</si>
  <si>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</si>
  <si>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</si>
  <si>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</si>
  <si>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</si>
  <si>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</si>
  <si>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</si>
  <si>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</si>
  <si>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</si>
  <si>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</si>
  <si>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</si>
  <si>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</si>
  <si>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</si>
  <si>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</si>
  <si>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</si>
  <si>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</si>
  <si>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</si>
  <si>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</si>
  <si>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</si>
  <si>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</si>
  <si>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</si>
  <si>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</si>
  <si>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</si>
  <si>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</si>
  <si>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</si>
  <si>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</si>
  <si>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</si>
  <si>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</si>
  <si>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</si>
  <si>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</si>
  <si>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</si>
  <si>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</si>
  <si>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</si>
  <si>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</si>
  <si>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</si>
  <si>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</si>
  <si>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</si>
  <si>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</si>
  <si>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</si>
  <si>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</si>
  <si>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</si>
  <si>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</si>
  <si>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</si>
  <si>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</si>
  <si>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</si>
  <si>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</si>
  <si>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</si>
  <si>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</si>
  <si>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</si>
  <si>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</si>
  <si>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</si>
  <si>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</si>
  <si>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</si>
  <si>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</si>
  <si>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</si>
  <si>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</si>
  <si>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</si>
  <si>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</si>
  <si>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</si>
  <si>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</si>
  <si>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</si>
  <si>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</si>
  <si>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</si>
  <si>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</si>
  <si>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</si>
  <si>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</si>
  <si>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</si>
  <si>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</si>
  <si>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</si>
  <si>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</si>
  <si>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</si>
  <si>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</si>
  <si>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</si>
  <si>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</si>
  <si>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</si>
  <si>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</si>
  <si>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</si>
  <si>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</si>
  <si>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</si>
  <si>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</si>
  <si>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</si>
  <si>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</si>
  <si>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</si>
  <si>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</si>
  <si>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</si>
  <si>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</si>
  <si>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</si>
  <si>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</si>
  <si>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</si>
  <si>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</si>
  <si>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</si>
  <si>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</si>
  <si>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</si>
  <si>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</si>
  <si>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</si>
  <si>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</si>
  <si>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</si>
  <si>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</si>
  <si>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</si>
  <si>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</si>
  <si>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</si>
  <si>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</si>
  <si>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</si>
  <si>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</si>
  <si>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</si>
  <si>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</si>
  <si>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</si>
  <si>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</si>
  <si>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</si>
  <si>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</si>
  <si>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</si>
  <si>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</si>
  <si>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</si>
  <si>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</si>
  <si>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</si>
  <si>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</si>
  <si>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</si>
  <si>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</si>
  <si>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</si>
  <si>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</si>
  <si>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</si>
  <si>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</si>
  <si>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</si>
  <si>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</si>
  <si>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</si>
  <si>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</si>
  <si>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</si>
  <si>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</si>
  <si>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</si>
  <si>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</si>
  <si>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</si>
  <si>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</si>
  <si>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</si>
  <si>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</si>
  <si>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</si>
  <si>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</si>
  <si>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</si>
  <si>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</si>
  <si>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</si>
  <si>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</si>
  <si>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</si>
  <si>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</si>
  <si>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</si>
  <si>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</si>
  <si>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</si>
  <si>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</si>
  <si>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</si>
  <si>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</si>
  <si>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</si>
  <si>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</si>
  <si>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</si>
  <si>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</si>
  <si>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</si>
  <si>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</si>
  <si>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</si>
  <si>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</si>
  <si>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</si>
  <si>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</si>
  <si>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</si>
  <si>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</si>
  <si>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</si>
  <si>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</si>
  <si>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</si>
  <si>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</si>
  <si>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</si>
  <si>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</si>
  <si>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</si>
  <si>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</si>
  <si>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</si>
  <si>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</si>
  <si>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</si>
  <si>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</si>
  <si>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</si>
  <si>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</si>
  <si>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</si>
  <si>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</si>
  <si>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</si>
  <si>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</si>
  <si>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</si>
  <si>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</si>
  <si>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</si>
  <si>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</si>
  <si>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</si>
  <si>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</si>
  <si>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</si>
  <si>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</si>
  <si>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</si>
  <si>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</si>
  <si>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</si>
  <si>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</si>
  <si>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</si>
  <si>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</si>
  <si>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</si>
  <si>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</si>
  <si>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</si>
  <si>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</si>
  <si>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</si>
  <si>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</si>
  <si>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</si>
  <si>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</si>
  <si>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</si>
  <si>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</si>
  <si>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</si>
  <si>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</si>
  <si>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</si>
  <si>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</si>
  <si>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</si>
  <si>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</si>
  <si>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</si>
  <si>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</si>
  <si>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</si>
  <si>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</si>
  <si>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</si>
  <si>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</si>
  <si>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</si>
  <si>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</si>
  <si>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</si>
  <si>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</si>
  <si>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</si>
  <si>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</si>
  <si>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</si>
  <si>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</si>
  <si>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</si>
  <si>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</si>
  <si>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</si>
  <si>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</si>
  <si>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</si>
  <si>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</si>
  <si>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</si>
  <si>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</si>
  <si>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</si>
  <si>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</si>
  <si>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</si>
  <si>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</si>
  <si>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</si>
  <si>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</si>
  <si>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</si>
  <si>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</si>
  <si>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</si>
  <si>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</si>
  <si>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</si>
  <si>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</si>
  <si>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</si>
  <si>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</si>
  <si>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</si>
  <si>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</si>
  <si>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</si>
  <si>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</si>
  <si>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</si>
  <si>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</si>
  <si>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</si>
  <si>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</si>
  <si>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</si>
  <si>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</si>
  <si>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</si>
  <si>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</si>
  <si>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</si>
  <si>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</si>
  <si>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</si>
  <si>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</si>
  <si>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</si>
  <si>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</si>
  <si>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</si>
  <si>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</si>
  <si>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</si>
  <si>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</si>
  <si>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</si>
  <si>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</si>
  <si>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</si>
  <si>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</si>
  <si>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</si>
  <si>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</si>
  <si>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</si>
  <si>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</si>
  <si>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</si>
  <si>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</si>
  <si>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</si>
  <si>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</si>
  <si>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</si>
  <si>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</si>
  <si>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</si>
  <si>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</si>
  <si>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</si>
  <si>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</si>
  <si>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</si>
  <si>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</si>
  <si>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</si>
  <si>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</si>
  <si>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</si>
  <si>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</si>
  <si>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</si>
  <si>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</si>
  <si>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</si>
  <si>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</si>
  <si>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</si>
  <si>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</si>
  <si>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</si>
  <si>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</si>
  <si>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</si>
  <si>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</si>
  <si>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</si>
  <si>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</si>
  <si>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</si>
  <si>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</si>
  <si>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</si>
  <si>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</si>
  <si>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</si>
  <si>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</si>
  <si>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</si>
  <si>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</si>
  <si>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</si>
  <si>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</si>
  <si>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</si>
  <si>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</si>
  <si>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</si>
  <si>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</si>
  <si>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</si>
  <si>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</si>
  <si>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</si>
  <si>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</si>
  <si>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</si>
  <si>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</si>
  <si>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</si>
  <si>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</si>
  <si>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</si>
  <si>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</si>
  <si>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</si>
  <si>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</si>
  <si>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</si>
  <si>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</si>
  <si>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</si>
  <si>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</si>
  <si>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</si>
  <si>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</si>
  <si>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</si>
  <si>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</si>
  <si>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</si>
  <si>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</si>
  <si>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</si>
  <si>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</si>
  <si>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</si>
  <si>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</si>
  <si>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</si>
  <si>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</si>
  <si>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</si>
  <si>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</si>
  <si>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</si>
  <si>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</si>
  <si>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</si>
  <si>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</si>
  <si>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</si>
  <si>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</si>
  <si>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</si>
  <si>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</si>
  <si>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</si>
  <si>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</si>
  <si>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</si>
  <si>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</si>
  <si>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</si>
  <si>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</si>
  <si>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</si>
  <si>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</si>
  <si>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</si>
  <si>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</si>
  <si>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</si>
  <si>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</si>
  <si>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</si>
  <si>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</si>
  <si>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</si>
  <si>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</si>
  <si>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</si>
  <si>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</si>
  <si>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</si>
  <si>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</si>
  <si>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</si>
  <si>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</si>
  <si>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</si>
  <si>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</si>
  <si>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</si>
  <si>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</si>
  <si>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</si>
  <si>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</si>
  <si>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</si>
  <si>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</si>
  <si>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</si>
  <si>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</si>
  <si>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</si>
  <si>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</si>
  <si>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</si>
  <si>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</si>
  <si>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</si>
  <si>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</si>
  <si>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</si>
  <si>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</si>
  <si>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</si>
  <si>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</si>
  <si>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</si>
  <si>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</si>
  <si>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</si>
  <si>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</si>
  <si>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</si>
  <si>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</si>
  <si>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</si>
  <si>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</si>
  <si>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</si>
  <si>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</si>
  <si>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</si>
  <si>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</si>
  <si>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</si>
  <si>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</si>
  <si>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</si>
  <si>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</si>
  <si>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</si>
  <si>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</si>
  <si>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</si>
  <si>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</si>
  <si>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</si>
  <si>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</si>
  <si>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</si>
  <si>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</si>
  <si>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</si>
  <si>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</si>
  <si>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</si>
  <si>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</si>
  <si>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</si>
  <si>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</si>
  <si>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</si>
  <si>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</si>
  <si>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</si>
  <si>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</si>
  <si>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</si>
  <si>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</si>
  <si>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</si>
  <si>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</si>
  <si>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</si>
  <si>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</si>
  <si>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</si>
  <si>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</si>
  <si>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</si>
  <si>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</si>
  <si>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</si>
  <si>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</si>
  <si>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</si>
  <si>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</si>
  <si>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</si>
  <si>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</si>
  <si>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</si>
  <si>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</si>
  <si>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</si>
  <si>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</si>
  <si>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</si>
  <si>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</si>
  <si>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</si>
  <si>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</si>
  <si>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</si>
  <si>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</si>
  <si>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</si>
  <si>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</si>
  <si>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</si>
  <si>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</si>
  <si>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</si>
  <si>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</si>
  <si>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</si>
  <si>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</si>
  <si>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</si>
  <si>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</si>
  <si>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</si>
  <si>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</si>
  <si>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</si>
  <si>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</si>
  <si>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</si>
  <si>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</si>
  <si>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</si>
  <si>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</si>
  <si>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</si>
  <si>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</si>
  <si>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</si>
  <si>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</si>
  <si>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</si>
  <si>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</si>
  <si>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</si>
  <si>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</si>
  <si>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</si>
  <si>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</si>
  <si>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</si>
  <si>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</si>
  <si>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</si>
  <si>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</si>
  <si>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</si>
  <si>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</si>
  <si>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</si>
  <si>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</si>
  <si>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</si>
  <si>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</si>
  <si>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</si>
  <si>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</si>
  <si>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</si>
  <si>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</si>
  <si>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</si>
  <si>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</si>
  <si>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</si>
  <si>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</si>
  <si>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</si>
  <si>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</si>
  <si>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</si>
  <si>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</si>
  <si>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</si>
  <si>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</si>
  <si>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</si>
  <si>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</si>
  <si>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</si>
  <si>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</si>
  <si>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</si>
  <si>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</si>
  <si>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</si>
  <si>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</si>
  <si>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</si>
  <si>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</si>
  <si>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</si>
  <si>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</si>
  <si>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</si>
  <si>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</si>
  <si>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</si>
  <si>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</si>
  <si>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</si>
  <si>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</si>
  <si>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</si>
  <si>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</si>
  <si>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</si>
  <si>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</si>
  <si>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</si>
  <si>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</si>
  <si>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</si>
  <si>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</si>
  <si>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</si>
  <si>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</si>
  <si>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</si>
  <si>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</si>
  <si>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</si>
  <si>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</si>
  <si>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</si>
  <si>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</si>
  <si>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</si>
  <si>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</si>
  <si>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</si>
  <si>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</si>
  <si>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</si>
  <si>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</si>
  <si>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</si>
  <si>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</si>
  <si>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</si>
  <si>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</si>
  <si>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</si>
  <si>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</si>
  <si>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</si>
  <si>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</si>
  <si>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</si>
  <si>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</si>
  <si>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</si>
  <si>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</si>
  <si>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</si>
  <si>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</si>
  <si>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</si>
  <si>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</si>
  <si>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</si>
  <si>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</si>
  <si>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</si>
  <si>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</si>
  <si>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</si>
  <si>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</si>
  <si>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</si>
  <si>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</si>
  <si>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</si>
  <si>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</si>
  <si>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</si>
  <si>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</si>
  <si>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</si>
  <si>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</si>
  <si>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</si>
  <si>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</si>
  <si>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</si>
  <si>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</si>
  <si>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</si>
  <si>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</si>
  <si>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</si>
  <si>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</si>
  <si>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</si>
  <si>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</si>
  <si>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</si>
  <si>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</si>
  <si>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</si>
  <si>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</si>
  <si>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</si>
  <si>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</si>
  <si>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</si>
  <si>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</si>
  <si>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</si>
  <si>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</si>
  <si>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</si>
  <si>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</si>
  <si>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</si>
  <si>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</si>
  <si>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</si>
  <si>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</si>
  <si>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</si>
  <si>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</si>
  <si>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</si>
  <si>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</si>
  <si>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</si>
  <si>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</si>
  <si>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</si>
  <si>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</si>
  <si>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</si>
  <si>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</si>
  <si>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</si>
  <si>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</si>
  <si>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</si>
  <si>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</si>
  <si>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</si>
  <si>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</si>
  <si>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</si>
  <si>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</si>
  <si>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</si>
  <si>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</si>
  <si>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</si>
  <si>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</si>
  <si>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</si>
  <si>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</si>
  <si>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</si>
  <si>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</si>
  <si>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</si>
  <si>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</si>
  <si>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</si>
  <si>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</si>
  <si>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</si>
  <si>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</si>
  <si>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</si>
  <si>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</si>
  <si>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</si>
  <si>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</si>
  <si>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</si>
  <si>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</si>
  <si>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</si>
  <si>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</si>
  <si>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</si>
  <si>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</si>
  <si>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</si>
  <si>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</si>
  <si>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</si>
  <si>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</si>
  <si>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</si>
  <si>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</si>
  <si>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</si>
  <si>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</si>
  <si>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</si>
  <si>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</si>
  <si>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</si>
  <si>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</si>
  <si>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</si>
  <si>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</si>
  <si>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</si>
  <si>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</si>
  <si>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</si>
  <si>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</si>
  <si>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</si>
  <si>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</si>
  <si>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</si>
  <si>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</si>
  <si>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</si>
  <si>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</si>
  <si>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</si>
  <si>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</si>
  <si>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</si>
  <si>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</si>
  <si>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</si>
  <si>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</si>
  <si>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</si>
  <si>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</si>
  <si>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</si>
  <si>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</si>
  <si>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</si>
  <si>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</si>
  <si>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</si>
  <si>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</si>
  <si>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</si>
  <si>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</si>
  <si>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</si>
  <si>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</si>
  <si>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</si>
  <si>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</si>
  <si>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</si>
  <si>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</si>
  <si>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</si>
  <si>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</si>
  <si>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</si>
  <si>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</si>
  <si>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</si>
  <si>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</si>
  <si>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</si>
  <si>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</si>
  <si>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</si>
  <si>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</si>
  <si>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</si>
  <si>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</si>
  <si>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</si>
  <si>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</si>
  <si>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</si>
  <si>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</si>
  <si>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</si>
  <si>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</si>
  <si>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</si>
  <si>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</si>
  <si>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</si>
  <si>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</si>
  <si>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</si>
  <si>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</si>
  <si>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</si>
  <si>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</si>
  <si>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</si>
  <si>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</si>
  <si>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</si>
  <si>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</si>
  <si>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</si>
  <si>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</si>
  <si>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</si>
  <si>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</si>
  <si>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</si>
  <si>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</si>
  <si>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</si>
  <si>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</si>
  <si>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</si>
  <si>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</si>
  <si>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</si>
  <si>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</si>
  <si>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</si>
  <si>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</si>
  <si>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</si>
  <si>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</si>
  <si>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</si>
  <si>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</si>
  <si>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</si>
  <si>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</si>
  <si>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</si>
  <si>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</si>
  <si>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</si>
  <si>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</si>
  <si>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</si>
  <si>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</si>
  <si>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</si>
  <si>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</si>
  <si>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</si>
  <si>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</si>
  <si>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</si>
  <si>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</si>
  <si>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</si>
  <si>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</si>
  <si>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</si>
  <si>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</si>
  <si>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</si>
  <si>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</si>
  <si>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</si>
  <si>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</si>
  <si>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</si>
  <si>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</si>
  <si>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</si>
  <si>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</si>
  <si>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</si>
  <si>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</si>
  <si>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</si>
  <si>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</si>
  <si>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</si>
  <si>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</si>
  <si>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</si>
  <si>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</si>
  <si>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</si>
  <si>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</si>
  <si>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</si>
  <si>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</si>
  <si>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</si>
  <si>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</si>
  <si>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</si>
  <si>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</si>
  <si>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</si>
  <si>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</si>
  <si>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</si>
  <si>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</si>
  <si>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</si>
  <si>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</si>
  <si>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</si>
  <si>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</si>
  <si>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</si>
  <si>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</si>
  <si>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</si>
  <si>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</si>
  <si>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</si>
  <si>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</si>
  <si>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</si>
  <si>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</si>
  <si>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</si>
  <si>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</si>
  <si>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</si>
  <si>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</si>
  <si>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</si>
  <si>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</si>
  <si>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</si>
  <si>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</si>
  <si>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</si>
  <si>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</si>
  <si>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</si>
  <si>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</si>
  <si>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</si>
  <si>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</si>
  <si>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</si>
  <si>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</si>
  <si>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</si>
  <si>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</si>
  <si>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</si>
  <si>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</si>
  <si>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</si>
  <si>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</si>
  <si>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</si>
  <si>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</si>
  <si>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</si>
  <si>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</si>
  <si>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</si>
  <si>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</si>
  <si>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</si>
  <si>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</si>
  <si>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</si>
  <si>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</si>
  <si>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</si>
  <si>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</si>
  <si>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</si>
  <si>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</si>
  <si>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</si>
  <si>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</si>
  <si>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</si>
  <si>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</si>
  <si>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</si>
  <si>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</si>
  <si>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</si>
  <si>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</si>
  <si>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</si>
  <si>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</si>
  <si>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</si>
  <si>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</si>
  <si>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</si>
  <si>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</si>
  <si>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</si>
  <si>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</si>
  <si>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</si>
  <si>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</si>
  <si>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</si>
  <si>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</si>
  <si>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</si>
  <si>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</si>
  <si>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</si>
  <si>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</si>
  <si>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</si>
  <si>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</si>
  <si>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</si>
  <si>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</si>
  <si>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</si>
  <si>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</si>
  <si>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</si>
  <si>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</si>
  <si>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</si>
  <si>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</si>
  <si>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</si>
  <si>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</si>
  <si>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</si>
  <si>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</si>
  <si>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</si>
  <si>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</si>
  <si>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</si>
  <si>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</si>
  <si>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</si>
  <si>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</si>
  <si>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</si>
  <si>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</si>
  <si>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</si>
  <si>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</si>
  <si>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</si>
  <si>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</si>
  <si>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</si>
  <si>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</si>
  <si>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</si>
  <si>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</si>
  <si>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</si>
  <si>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</si>
  <si>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</si>
  <si>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</si>
  <si>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</si>
  <si>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</si>
  <si>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</si>
  <si>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</si>
  <si>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</si>
  <si>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</si>
  <si>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</si>
  <si>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</si>
  <si>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</si>
  <si>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</si>
  <si>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</si>
  <si>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</si>
  <si>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</si>
  <si>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</si>
  <si>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</si>
  <si>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</si>
  <si>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</si>
  <si>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</si>
  <si>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</si>
  <si>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</si>
  <si>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</si>
  <si>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</si>
  <si>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</si>
  <si>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</si>
  <si>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</si>
  <si>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</si>
  <si>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</si>
  <si>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</si>
  <si>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</si>
  <si>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</si>
  <si>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</si>
  <si>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</si>
  <si>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</si>
  <si>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</si>
  <si>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</si>
  <si>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</si>
  <si>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</si>
  <si>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</si>
  <si>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</si>
  <si>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</si>
  <si>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</si>
  <si>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</si>
  <si>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</si>
  <si>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</si>
  <si>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</si>
  <si>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</si>
  <si>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</si>
  <si>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</si>
  <si>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</si>
  <si>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</si>
  <si>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</si>
  <si>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</si>
  <si>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</si>
  <si>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</si>
  <si>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</si>
  <si>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</si>
  <si>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</si>
  <si>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</si>
  <si>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</si>
  <si>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</si>
  <si>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</si>
  <si>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</si>
  <si>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</si>
  <si>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</si>
  <si>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</si>
  <si>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</si>
  <si>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</si>
  <si>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</si>
  <si>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</si>
  <si>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</si>
  <si>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</si>
  <si>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</si>
  <si>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</si>
  <si>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</si>
  <si>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</si>
  <si>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</si>
  <si>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</si>
  <si>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</si>
  <si>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</si>
  <si>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</si>
  <si>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</si>
  <si>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</si>
  <si>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</si>
  <si>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</si>
  <si>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</si>
  <si>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</si>
  <si>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</si>
  <si>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</si>
  <si>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</si>
  <si>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</si>
  <si>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</si>
  <si>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</si>
  <si>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</si>
  <si>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</si>
  <si>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</si>
  <si>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</si>
  <si>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</si>
  <si>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</si>
  <si>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</si>
  <si>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</si>
  <si>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</si>
  <si>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</si>
  <si>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</si>
  <si>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</si>
  <si>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</si>
  <si>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</si>
  <si>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</si>
  <si>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</si>
  <si>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</si>
  <si>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</si>
  <si>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</si>
  <si>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</si>
  <si>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</si>
  <si>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</si>
  <si>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</si>
  <si>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</si>
  <si>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</si>
  <si>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</si>
  <si>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</si>
  <si>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</si>
  <si>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</si>
  <si>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</si>
  <si>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</si>
  <si>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</si>
  <si>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</si>
  <si>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</si>
  <si>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</si>
  <si>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</si>
  <si>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</si>
  <si>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</si>
  <si>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</si>
  <si>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</si>
  <si>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</si>
  <si>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</si>
  <si>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</si>
  <si>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</si>
  <si>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</si>
  <si>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</si>
  <si>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</si>
  <si>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</si>
  <si>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</si>
  <si>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</si>
  <si>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</si>
  <si>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</si>
  <si>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</si>
  <si>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</si>
  <si>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</si>
  <si>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</si>
  <si>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</si>
  <si>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</si>
  <si>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</si>
  <si>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</si>
  <si>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</si>
  <si>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</si>
  <si>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</si>
  <si>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</si>
  <si>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</si>
  <si>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</si>
  <si>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</si>
  <si>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</si>
  <si>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</si>
  <si>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</si>
  <si>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</si>
  <si>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</si>
  <si>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</si>
  <si>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</si>
  <si>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</si>
  <si>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</si>
  <si>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</si>
  <si>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</si>
  <si>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</si>
  <si>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</si>
  <si>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</si>
  <si>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</si>
  <si>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</si>
  <si>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</si>
  <si>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</si>
  <si>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</si>
  <si>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</si>
  <si>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</si>
  <si>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</si>
  <si>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</si>
  <si>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</si>
  <si>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</si>
  <si>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</si>
  <si>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</si>
  <si>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</si>
  <si>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</si>
  <si>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</si>
  <si>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</si>
  <si>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</si>
  <si>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</si>
  <si>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</si>
  <si>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</si>
  <si>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</si>
  <si>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</si>
  <si>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</si>
  <si>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</si>
  <si>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</si>
  <si>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</si>
  <si>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</si>
  <si>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</si>
  <si>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</si>
  <si>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</si>
  <si>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</si>
  <si>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</si>
  <si>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</si>
  <si>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</si>
  <si>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</si>
  <si>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</si>
  <si>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</si>
  <si>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</si>
  <si>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</si>
  <si>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</si>
  <si>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</si>
  <si>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</si>
  <si>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</si>
  <si>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</si>
  <si>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</si>
  <si>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</si>
  <si>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</si>
  <si>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</si>
  <si>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</si>
  <si>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</si>
  <si>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</si>
  <si>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</si>
  <si>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</si>
  <si>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</si>
  <si>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</si>
  <si>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</si>
  <si>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</si>
  <si>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</si>
  <si>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</si>
  <si>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</si>
  <si>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</si>
  <si>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</si>
  <si>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</si>
  <si>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</si>
  <si>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</si>
  <si>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</si>
  <si>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</si>
  <si>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</si>
  <si>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</si>
  <si>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</si>
  <si>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</si>
  <si>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</si>
  <si>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</si>
  <si>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</si>
  <si>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</si>
  <si>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</si>
  <si>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</si>
  <si>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</si>
  <si>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</si>
  <si>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</si>
  <si>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</si>
  <si>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</si>
  <si>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</si>
  <si>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</si>
  <si>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</si>
  <si>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</si>
  <si>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</si>
  <si>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</si>
  <si>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</si>
  <si>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</si>
  <si>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</si>
  <si>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</si>
  <si>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</si>
  <si>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</si>
  <si>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</si>
  <si>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</si>
  <si>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</si>
  <si>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</si>
  <si>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</si>
  <si>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</si>
  <si>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</si>
  <si>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</si>
  <si>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</si>
  <si>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</si>
  <si>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</si>
  <si>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</si>
  <si>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</si>
  <si>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</si>
  <si>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</si>
  <si>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</si>
  <si>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</si>
  <si>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</si>
  <si>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</si>
  <si>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</si>
  <si>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</si>
  <si>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</si>
  <si>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</si>
  <si>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</si>
  <si>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</si>
  <si>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</si>
  <si>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</si>
  <si>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</si>
  <si>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</si>
  <si>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</si>
  <si>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</si>
  <si>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</si>
  <si>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</si>
  <si>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</si>
  <si>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</si>
  <si>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</si>
  <si>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</si>
  <si>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</si>
  <si>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</si>
  <si>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</si>
  <si>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</si>
  <si>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</si>
  <si>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</si>
  <si>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</si>
  <si>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</si>
  <si>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</si>
  <si>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</si>
  <si>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</si>
  <si>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</si>
  <si>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</si>
  <si>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</si>
  <si>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</si>
  <si>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</si>
  <si>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</si>
  <si>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</si>
  <si>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</si>
  <si>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</si>
  <si>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</si>
  <si>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</si>
  <si>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</si>
  <si>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</si>
  <si>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</si>
  <si>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</si>
  <si>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</si>
  <si>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</si>
  <si>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</si>
  <si>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</si>
  <si>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</si>
  <si>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</si>
  <si>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</si>
  <si>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</si>
  <si>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</si>
  <si>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</si>
  <si>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</si>
  <si>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</si>
  <si>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</si>
  <si>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</si>
  <si>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</si>
  <si>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</si>
  <si>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</si>
  <si>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</si>
  <si>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</si>
  <si>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</si>
  <si>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</si>
  <si>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</si>
  <si>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</si>
  <si>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</si>
  <si>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</si>
  <si>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</si>
  <si>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</si>
  <si>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</si>
  <si>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</si>
  <si>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</si>
  <si>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</si>
  <si>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</si>
  <si>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</si>
  <si>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</si>
  <si>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</si>
  <si>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</si>
  <si>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</si>
  <si>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</si>
  <si>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</si>
  <si>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</si>
  <si>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</si>
  <si>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</si>
  <si>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</si>
  <si>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</si>
  <si>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</si>
  <si>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</si>
  <si>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</si>
  <si>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</si>
  <si>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</si>
  <si>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</si>
  <si>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</si>
  <si>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</si>
  <si>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</si>
  <si>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</si>
  <si>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</si>
  <si>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</si>
  <si>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</si>
  <si>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</si>
  <si>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</si>
  <si>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</si>
  <si>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</si>
  <si>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</si>
  <si>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</si>
  <si>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</si>
  <si>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</si>
  <si>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</si>
  <si>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</si>
  <si>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</si>
  <si>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</si>
  <si>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</si>
  <si>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</si>
  <si>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</si>
  <si>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</si>
  <si>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</si>
  <si>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</si>
  <si>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</si>
  <si>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</si>
  <si>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</si>
  <si>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</si>
  <si>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</si>
  <si>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</si>
  <si>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</si>
  <si>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</si>
  <si>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</si>
  <si>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</si>
  <si>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</si>
  <si>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</si>
  <si>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</si>
  <si>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</si>
  <si>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</si>
  <si>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</si>
  <si>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</si>
  <si>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</si>
  <si>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</si>
  <si>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</si>
  <si>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</si>
  <si>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</si>
  <si>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</si>
  <si>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</si>
  <si>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</si>
  <si>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</si>
  <si>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</si>
  <si>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</si>
  <si>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</si>
  <si>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</si>
  <si>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</si>
  <si>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</si>
  <si>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</si>
  <si>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</si>
  <si>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</si>
  <si>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</si>
  <si>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</si>
  <si>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</si>
  <si>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</si>
  <si>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</si>
  <si>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</si>
  <si>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</si>
  <si>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</si>
  <si>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</si>
  <si>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</si>
  <si>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</si>
  <si>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</si>
  <si>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</si>
  <si>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</si>
  <si>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</si>
  <si>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</si>
  <si>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</si>
  <si>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</si>
  <si>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</si>
  <si>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</si>
  <si>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</si>
  <si>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</si>
  <si>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</si>
  <si>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</si>
  <si>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</si>
  <si>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</si>
  <si>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</si>
  <si>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</si>
  <si>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</si>
  <si>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</si>
  <si>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</si>
  <si>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</si>
  <si>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</si>
  <si>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</si>
  <si>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</si>
  <si>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</si>
  <si>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</si>
  <si>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</si>
  <si>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</si>
  <si>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</si>
  <si>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</si>
  <si>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</si>
  <si>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</si>
  <si>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</si>
  <si>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</si>
  <si>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</si>
  <si>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</si>
  <si>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</si>
  <si>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</si>
  <si>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</si>
  <si>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</si>
  <si>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</si>
  <si>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</si>
  <si>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</si>
  <si>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</si>
  <si>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</si>
  <si>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</si>
  <si>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</si>
  <si>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</si>
  <si>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</si>
  <si>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</si>
  <si>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</si>
  <si>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</si>
  <si>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</si>
  <si>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</si>
  <si>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</si>
  <si>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</si>
  <si>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</si>
  <si>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</si>
  <si>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</si>
  <si>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</si>
  <si>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</si>
  <si>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</si>
  <si>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</si>
  <si>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</si>
  <si>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</si>
  <si>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</si>
  <si>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</si>
  <si>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</si>
  <si>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</si>
  <si>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</si>
  <si>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</si>
  <si>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</si>
  <si>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</si>
  <si>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</si>
  <si>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</si>
  <si>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</si>
  <si>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</si>
  <si>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</si>
  <si>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</si>
  <si>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</si>
  <si>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</si>
  <si>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</si>
  <si>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</si>
  <si>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</si>
  <si>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</si>
  <si>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</si>
  <si>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</si>
  <si>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</si>
  <si>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</si>
  <si>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</si>
  <si>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</si>
  <si>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</si>
  <si>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</si>
  <si>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</si>
  <si>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</si>
  <si>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</si>
  <si>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</si>
  <si>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</si>
  <si>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</si>
  <si>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</si>
  <si>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</si>
  <si>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</si>
  <si>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</si>
  <si>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</si>
  <si>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</si>
  <si>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</si>
  <si>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</si>
  <si>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</si>
  <si>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</si>
  <si>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</si>
  <si>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</si>
  <si>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</si>
  <si>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</si>
  <si>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</si>
  <si>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</si>
  <si>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</si>
  <si>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</si>
  <si>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</si>
  <si>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</si>
  <si>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</si>
  <si>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</si>
  <si>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</si>
  <si>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</si>
  <si>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</si>
  <si>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</si>
  <si>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</si>
  <si>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</si>
  <si>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</si>
  <si>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</si>
  <si>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</si>
  <si>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</si>
  <si>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</si>
  <si>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</si>
  <si>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</si>
  <si>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</si>
  <si>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</si>
  <si>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</si>
  <si>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</si>
  <si>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</si>
  <si>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</si>
  <si>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</si>
  <si>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</si>
  <si>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</si>
  <si>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</si>
  <si>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</si>
  <si>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</si>
  <si>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</si>
  <si>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</si>
  <si>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</si>
  <si>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</si>
  <si>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</si>
  <si>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</si>
  <si>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</si>
  <si>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</si>
  <si>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</si>
  <si>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</si>
  <si>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</si>
  <si>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</si>
  <si>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</si>
  <si>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</si>
  <si>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</si>
  <si>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</si>
  <si>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</si>
  <si>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</si>
  <si>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</si>
  <si>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</si>
  <si>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</si>
  <si>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</si>
  <si>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</si>
  <si>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</si>
  <si>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</si>
  <si>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</si>
  <si>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</si>
  <si>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</si>
  <si>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</si>
  <si>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</si>
  <si>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</si>
  <si>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</si>
  <si>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</si>
  <si>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</si>
  <si>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</si>
  <si>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</si>
  <si>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</si>
  <si>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</si>
  <si>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</si>
  <si>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</si>
  <si>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</si>
  <si>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</si>
  <si>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</si>
  <si>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</si>
  <si>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</si>
  <si>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</si>
  <si>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</si>
  <si>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</si>
  <si>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</si>
  <si>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</si>
  <si>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</si>
  <si>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</si>
  <si>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</si>
  <si>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</si>
  <si>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</si>
  <si>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</si>
  <si>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</si>
  <si>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</si>
  <si>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</si>
  <si>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</si>
  <si>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</si>
  <si>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</si>
  <si>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</si>
  <si>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</si>
  <si>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</si>
  <si>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</si>
  <si>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</si>
  <si>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</si>
  <si>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</si>
  <si>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</si>
  <si>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</si>
  <si>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</si>
  <si>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</si>
  <si>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</si>
  <si>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</si>
  <si>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</si>
  <si>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</si>
  <si>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</si>
  <si>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</si>
  <si>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</si>
  <si>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</si>
  <si>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</si>
  <si>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</si>
  <si>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</si>
  <si>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</si>
  <si>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</si>
  <si>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</si>
  <si>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</si>
  <si>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</si>
  <si>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</si>
  <si>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</si>
  <si>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</si>
  <si>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</si>
  <si>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</si>
  <si>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</si>
  <si>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</si>
  <si>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</si>
  <si>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</si>
  <si>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</si>
  <si>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</si>
  <si>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</si>
  <si>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</si>
  <si>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</si>
  <si>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</si>
  <si>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</si>
  <si>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</si>
  <si>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</si>
  <si>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</si>
  <si>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</si>
  <si>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</si>
  <si>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</si>
  <si>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</si>
  <si>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</si>
  <si>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</si>
  <si>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</si>
  <si>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</si>
  <si>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</si>
  <si>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</si>
  <si>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</si>
  <si>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</si>
  <si>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</si>
  <si>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</si>
  <si>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</si>
  <si>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</si>
  <si>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</si>
  <si>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</si>
  <si>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</si>
  <si>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</si>
  <si>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</si>
  <si>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</si>
  <si>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</si>
  <si>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</si>
  <si>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</si>
  <si>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</si>
  <si>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</si>
  <si>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</si>
  <si>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</si>
  <si>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</si>
  <si>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</si>
  <si>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</si>
  <si>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</si>
  <si>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</si>
  <si>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</si>
  <si>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</si>
  <si>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</si>
  <si>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</si>
  <si>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</si>
  <si>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</si>
  <si>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</si>
  <si>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</si>
  <si>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</si>
  <si>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</si>
  <si>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</si>
  <si>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</si>
  <si>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</si>
  <si>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</si>
  <si>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</si>
  <si>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</si>
  <si>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</si>
  <si>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</si>
  <si>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</si>
  <si>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</si>
  <si>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</si>
  <si>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</si>
  <si>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</si>
  <si>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</si>
  <si>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</si>
  <si>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</si>
  <si>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</si>
  <si>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</si>
  <si>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</si>
  <si>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</si>
  <si>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</si>
  <si>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</si>
  <si>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</si>
  <si>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</si>
  <si>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</si>
  <si>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</si>
  <si>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</si>
  <si>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</si>
  <si>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</si>
  <si>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</si>
  <si>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</si>
  <si>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</si>
  <si>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</si>
  <si>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</si>
  <si>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</si>
  <si>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</si>
  <si>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</si>
  <si>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</si>
  <si>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</si>
  <si>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</si>
  <si>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</si>
  <si>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</si>
  <si>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</si>
  <si>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</si>
  <si>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</si>
  <si>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</si>
  <si>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</si>
  <si>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</si>
  <si>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</si>
  <si>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</si>
  <si>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</si>
  <si>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</si>
  <si>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</si>
  <si>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</si>
  <si>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</si>
  <si>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</si>
  <si>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</si>
  <si>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</si>
  <si>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</si>
  <si>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</si>
  <si>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</si>
  <si>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</si>
  <si>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</si>
  <si>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</si>
  <si>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</si>
  <si>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</si>
  <si>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</si>
  <si>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</si>
  <si>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</si>
  <si>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</si>
  <si>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</si>
  <si>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</si>
  <si>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</si>
  <si>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</si>
  <si>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</si>
  <si>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</si>
  <si>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</si>
  <si>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</si>
  <si>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</si>
  <si>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</si>
  <si>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</si>
  <si>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</si>
  <si>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</si>
  <si>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</si>
  <si>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</si>
  <si>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</si>
  <si>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</si>
  <si>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</si>
  <si>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</si>
  <si>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</si>
  <si>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</si>
  <si>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</si>
  <si>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</si>
  <si>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</si>
  <si>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</si>
  <si>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</si>
  <si>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</si>
  <si>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</si>
  <si>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</si>
  <si>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</si>
  <si>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</si>
  <si>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</si>
  <si>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</si>
  <si>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</si>
  <si>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</si>
  <si>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</si>
  <si>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</si>
  <si>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</si>
  <si>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</si>
  <si>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</si>
  <si>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</si>
  <si>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</si>
  <si>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</si>
  <si>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</si>
  <si>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</si>
  <si>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</si>
  <si>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</si>
  <si>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</si>
  <si>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</si>
  <si>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</si>
  <si>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</si>
  <si>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</si>
  <si>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</si>
  <si>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</si>
  <si>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</si>
  <si>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</si>
  <si>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</si>
  <si>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</si>
  <si>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</si>
  <si>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</si>
  <si>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</si>
  <si>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</si>
  <si>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</si>
  <si>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</si>
  <si>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</si>
  <si>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</si>
  <si>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</si>
  <si>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</si>
  <si>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</si>
  <si>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</si>
  <si>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</si>
  <si>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</si>
  <si>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</si>
  <si>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</si>
  <si>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</si>
  <si>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</si>
  <si>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</si>
  <si>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</si>
  <si>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</si>
  <si>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</si>
  <si>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</si>
  <si>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</si>
  <si>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</si>
  <si>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</si>
  <si>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</si>
  <si>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</si>
  <si>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</si>
  <si>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</si>
  <si>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</si>
  <si>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</si>
  <si>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</si>
  <si>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</si>
  <si>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</si>
  <si>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</si>
  <si>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</si>
  <si>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</si>
  <si>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</si>
  <si>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</si>
  <si>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</si>
  <si>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</si>
  <si>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</si>
  <si>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</si>
  <si>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</si>
  <si>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</si>
  <si>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</si>
  <si>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</si>
  <si>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</si>
  <si>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</si>
  <si>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</si>
  <si>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</si>
  <si>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</si>
  <si>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</si>
  <si>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</si>
  <si>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</si>
  <si>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</si>
  <si>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</si>
  <si>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</si>
  <si>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</si>
  <si>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</si>
  <si>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</si>
  <si>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</si>
  <si>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</si>
  <si>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</si>
  <si>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</si>
  <si>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</si>
  <si>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</si>
  <si>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</si>
  <si>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</si>
  <si>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</si>
  <si>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</si>
  <si>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</si>
  <si>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</si>
  <si>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</si>
  <si>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</si>
  <si>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</si>
  <si>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</si>
  <si>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</si>
  <si>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</si>
  <si>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</si>
  <si>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</si>
  <si>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</si>
  <si>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</si>
  <si>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</si>
  <si>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</si>
  <si>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</si>
  <si>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</si>
  <si>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</si>
  <si>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</si>
  <si>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</si>
  <si>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</si>
  <si>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</si>
  <si>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</si>
  <si>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</si>
  <si>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</si>
  <si>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</si>
  <si>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</si>
  <si>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</si>
  <si>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</si>
  <si>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</si>
  <si>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</si>
  <si>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</si>
  <si>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</si>
  <si>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</si>
  <si>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</si>
  <si>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</si>
  <si>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</si>
  <si>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</si>
  <si>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</si>
  <si>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</si>
  <si>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</si>
  <si>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</si>
  <si>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</si>
  <si>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</si>
  <si>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</si>
  <si>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</si>
  <si>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</si>
  <si>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</si>
  <si>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</si>
  <si>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</si>
  <si>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</si>
  <si>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</si>
  <si>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</si>
  <si>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</si>
  <si>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</si>
  <si>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</si>
  <si>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</si>
  <si>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</si>
  <si>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</si>
  <si>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</si>
  <si>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</si>
  <si>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</si>
  <si>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</si>
  <si>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</si>
  <si>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</si>
  <si>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</si>
  <si>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</si>
  <si>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</si>
  <si>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</si>
  <si>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</si>
  <si>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</si>
  <si>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</si>
  <si>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</si>
  <si>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</si>
  <si>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</si>
  <si>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</si>
  <si>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</si>
  <si>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</si>
  <si>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</si>
  <si>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</si>
  <si>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</si>
  <si>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</si>
  <si>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</si>
  <si>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</si>
  <si>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</si>
  <si>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</si>
  <si>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</si>
  <si>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</si>
  <si>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</si>
  <si>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</si>
  <si>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</si>
  <si>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</si>
  <si>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</si>
  <si>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</si>
  <si>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</si>
  <si>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</si>
  <si>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</si>
  <si>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</si>
  <si>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</si>
  <si>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</si>
  <si>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</si>
  <si>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</si>
  <si>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</si>
  <si>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</si>
  <si>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</si>
  <si>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</si>
  <si>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</si>
  <si>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</si>
  <si>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</si>
  <si>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</si>
  <si>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</si>
  <si>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</si>
  <si>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</si>
  <si>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</si>
  <si>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</si>
  <si>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</si>
  <si>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</si>
  <si>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</si>
  <si>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</si>
  <si>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</si>
  <si>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</si>
  <si>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</si>
  <si>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</si>
  <si>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</si>
  <si>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</si>
  <si>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</si>
  <si>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</si>
  <si>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</si>
  <si>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</si>
  <si>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</si>
  <si>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</si>
  <si>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</si>
  <si>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</si>
  <si>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</si>
  <si>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</si>
  <si>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</si>
  <si>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</si>
  <si>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</si>
  <si>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</si>
  <si>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</si>
  <si>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</si>
  <si>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</si>
  <si>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</si>
  <si>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</si>
  <si>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</si>
  <si>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</si>
  <si>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</si>
  <si>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</si>
  <si>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</si>
  <si>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</si>
  <si>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</si>
  <si>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</si>
  <si>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</si>
  <si>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</si>
  <si>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</si>
  <si>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</si>
  <si>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</si>
  <si>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</si>
  <si>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</si>
  <si>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</si>
  <si>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</si>
  <si>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</si>
  <si>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</si>
  <si>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</si>
  <si>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</si>
  <si>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</si>
  <si>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</si>
  <si>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</si>
  <si>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</si>
  <si>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</si>
  <si>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</si>
  <si>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</si>
  <si>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</si>
  <si>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</si>
  <si>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</si>
  <si>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</si>
  <si>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</si>
  <si>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</si>
  <si>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</si>
  <si>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</si>
  <si>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</si>
  <si>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</si>
  <si>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</si>
  <si>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</si>
  <si>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</si>
  <si>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</si>
  <si>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</si>
  <si>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</si>
  <si>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</si>
  <si>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</si>
  <si>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</si>
  <si>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</si>
  <si>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</si>
  <si>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</si>
  <si>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</si>
  <si>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</si>
  <si>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</si>
  <si>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</si>
  <si>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</si>
  <si>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</si>
  <si>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</si>
  <si>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</si>
  <si>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</si>
  <si>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</si>
  <si>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</si>
  <si>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</si>
  <si>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</si>
  <si>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</si>
  <si>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</si>
  <si>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</si>
  <si>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</si>
  <si>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</si>
  <si>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</si>
  <si>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</si>
  <si>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</si>
  <si>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</si>
  <si>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</si>
  <si>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</si>
  <si>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</si>
  <si>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</si>
  <si>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</si>
  <si>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</si>
  <si>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</si>
  <si>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</si>
  <si>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</si>
  <si>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</si>
  <si>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</si>
  <si>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</si>
  <si>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</si>
  <si>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</si>
  <si>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</si>
  <si>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</si>
  <si>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</si>
  <si>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</si>
  <si>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</si>
  <si>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</si>
  <si>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</si>
  <si>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</si>
  <si>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</si>
  <si>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</si>
  <si>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</si>
  <si>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</si>
  <si>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</si>
  <si>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</si>
  <si>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</si>
  <si>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</si>
  <si>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</si>
  <si>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</si>
  <si>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</si>
  <si>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</si>
  <si>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</si>
  <si>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</si>
  <si>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</si>
  <si>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</si>
  <si>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</si>
  <si>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</si>
  <si>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</si>
  <si>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</si>
  <si>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</si>
  <si>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</si>
  <si>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</si>
  <si>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</si>
  <si>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</si>
  <si>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</si>
  <si>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</si>
  <si>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</si>
  <si>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</si>
  <si>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</si>
  <si>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</si>
  <si>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</si>
  <si>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</si>
  <si>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</si>
  <si>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</si>
  <si>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</si>
  <si>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</si>
  <si>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</si>
  <si>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</si>
  <si>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</si>
  <si>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</si>
  <si>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</si>
  <si>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</si>
  <si>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</si>
  <si>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</si>
  <si>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</si>
  <si>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</si>
  <si>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</si>
  <si>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</si>
  <si>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</si>
  <si>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</si>
  <si>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</si>
  <si>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</si>
  <si>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</si>
  <si>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</si>
  <si>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</si>
  <si>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</si>
  <si>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</si>
  <si>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</si>
  <si>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</si>
  <si>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</si>
  <si>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</si>
  <si>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</si>
  <si>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</si>
  <si>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</si>
  <si>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</si>
  <si>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</si>
  <si>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</si>
  <si>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</si>
  <si>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</si>
  <si>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</si>
  <si>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</si>
  <si>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</si>
  <si>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</si>
  <si>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</si>
  <si>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</si>
  <si>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</si>
  <si>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</si>
  <si>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</si>
  <si>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</si>
  <si>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</si>
  <si>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</si>
  <si>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</si>
  <si>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</si>
  <si>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</si>
  <si>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</si>
  <si>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</si>
  <si>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</si>
  <si>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</si>
  <si>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</si>
  <si>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</si>
  <si>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</si>
  <si>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</si>
  <si>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</si>
  <si>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</si>
  <si>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</si>
  <si>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</si>
  <si>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</si>
  <si>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</si>
  <si>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</si>
  <si>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</si>
  <si>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</si>
  <si>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</si>
  <si>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</si>
  <si>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</si>
  <si>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</si>
  <si>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</si>
  <si>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</si>
  <si>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</si>
  <si>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</si>
  <si>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</si>
  <si>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</si>
  <si>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</si>
  <si>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</si>
  <si>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</si>
  <si>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</si>
  <si>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</si>
  <si>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</si>
  <si>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</si>
  <si>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</si>
  <si>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</si>
  <si>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</si>
  <si>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</si>
  <si>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</si>
  <si>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</si>
  <si>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</si>
  <si>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</si>
  <si>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</si>
  <si>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</si>
  <si>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</si>
  <si>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</si>
  <si>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</si>
  <si>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</si>
  <si>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</si>
  <si>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</si>
  <si>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</si>
  <si>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</si>
  <si>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</si>
  <si>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</si>
  <si>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</si>
  <si>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</si>
  <si>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</si>
  <si>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</si>
  <si>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</si>
  <si>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</si>
  <si>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</si>
  <si>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</si>
  <si>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</si>
  <si>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</si>
  <si>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</si>
  <si>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</si>
  <si>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</si>
  <si>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</si>
  <si>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</si>
  <si>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</si>
  <si>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</si>
  <si>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</si>
  <si>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</si>
  <si>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</si>
  <si>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</si>
  <si>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</si>
  <si>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</si>
  <si>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</si>
  <si>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</si>
  <si>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</si>
  <si>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</si>
  <si>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</si>
  <si>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</si>
  <si>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</si>
  <si>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</si>
  <si>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</si>
  <si>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</si>
  <si>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</si>
  <si>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</si>
  <si>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</si>
  <si>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</si>
  <si>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</si>
  <si>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</si>
  <si>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</si>
  <si>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</si>
  <si>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</si>
  <si>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</si>
  <si>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</si>
  <si>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</si>
  <si>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</si>
  <si>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</si>
  <si>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</si>
  <si>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</si>
  <si>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</si>
  <si>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</si>
  <si>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</si>
  <si>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</si>
  <si>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</si>
  <si>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</si>
  <si>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</si>
  <si>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</si>
  <si>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</si>
  <si>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</si>
  <si>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</si>
  <si>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</si>
  <si>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</si>
  <si>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</si>
  <si>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</si>
  <si>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</si>
  <si>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</si>
  <si>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</si>
  <si>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</si>
  <si>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</si>
  <si>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</si>
  <si>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</si>
  <si>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</si>
  <si>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</si>
  <si>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</si>
  <si>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</si>
  <si>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</si>
  <si>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</si>
  <si>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</si>
  <si>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</si>
  <si>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</si>
  <si>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</si>
  <si>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</si>
  <si>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</si>
  <si>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</si>
  <si>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</si>
  <si>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</si>
  <si>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</si>
  <si>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</si>
  <si>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</si>
  <si>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</si>
  <si>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</si>
  <si>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</si>
  <si>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</si>
  <si>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</si>
  <si>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</si>
  <si>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</si>
  <si>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</si>
  <si>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</si>
  <si>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</si>
  <si>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</si>
  <si>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</si>
  <si>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</si>
  <si>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</si>
  <si>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</si>
  <si>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</si>
  <si>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</si>
  <si>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</si>
  <si>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</si>
  <si>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</si>
  <si>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</si>
  <si>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</si>
  <si>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</si>
  <si>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</si>
  <si>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</si>
  <si>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</si>
  <si>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</si>
  <si>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</si>
  <si>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</si>
  <si>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</si>
  <si>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</si>
  <si>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</si>
  <si>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</si>
  <si>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</si>
  <si>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</si>
  <si>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</si>
  <si>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</si>
  <si>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</si>
  <si>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</si>
  <si>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</si>
  <si>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</si>
  <si>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</si>
  <si>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</si>
  <si>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</si>
  <si>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</si>
  <si>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</si>
  <si>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</si>
  <si>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</si>
  <si>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</si>
  <si>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</si>
  <si>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</si>
  <si>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</si>
  <si>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</si>
  <si>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</si>
  <si>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</si>
  <si>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</si>
  <si>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</si>
  <si>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</si>
  <si>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</si>
  <si>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</si>
  <si>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</si>
  <si>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</si>
  <si>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</si>
  <si>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</si>
  <si>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</si>
  <si>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</si>
  <si>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</si>
  <si>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</si>
  <si>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</si>
  <si>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</si>
  <si>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</si>
  <si>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</si>
  <si>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</si>
  <si>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</si>
  <si>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</si>
  <si>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</si>
  <si>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</si>
  <si>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</si>
  <si>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</si>
  <si>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</si>
  <si>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</si>
  <si>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</si>
  <si>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</si>
  <si>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</si>
  <si>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</si>
  <si>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</si>
  <si>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</si>
  <si>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</si>
  <si>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</si>
  <si>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</si>
  <si>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</si>
  <si>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</si>
  <si>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</si>
  <si>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</si>
  <si>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</si>
  <si>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</si>
  <si>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</si>
  <si>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</si>
  <si>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</si>
  <si>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</si>
  <si>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</si>
  <si>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</si>
  <si>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</si>
  <si>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</si>
  <si>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</si>
  <si>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</si>
  <si>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</si>
  <si>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</si>
  <si>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</si>
  <si>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</si>
  <si>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</si>
  <si>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</si>
  <si>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</si>
  <si>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</si>
  <si>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</si>
  <si>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</si>
  <si>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</si>
  <si>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</si>
  <si>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</si>
  <si>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</si>
  <si>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</si>
  <si>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</si>
  <si>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</si>
  <si>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</si>
  <si>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</si>
  <si>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</si>
  <si>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</si>
  <si>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</si>
  <si>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</si>
  <si>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</si>
  <si>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</si>
  <si>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</si>
  <si>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</si>
  <si>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</si>
  <si>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</si>
  <si>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</si>
  <si>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</si>
  <si>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</si>
  <si>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</si>
  <si>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</si>
  <si>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</si>
  <si>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</si>
  <si>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</si>
  <si>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</si>
  <si>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</si>
  <si>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</si>
  <si>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</si>
  <si>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</si>
  <si>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</si>
  <si>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</si>
  <si>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</si>
  <si>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</si>
  <si>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</si>
  <si>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</si>
  <si>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</si>
  <si>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</si>
  <si>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</si>
  <si>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</si>
  <si>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</si>
  <si>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</si>
  <si>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</si>
  <si>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</si>
  <si>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</si>
  <si>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</si>
  <si>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</si>
  <si>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</si>
  <si>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</si>
  <si>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</si>
  <si>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</si>
  <si>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</si>
  <si>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</si>
  <si>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</si>
  <si>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</si>
  <si>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</si>
  <si>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</si>
  <si>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</si>
  <si>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</si>
  <si>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</si>
  <si>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</si>
  <si>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</si>
  <si>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</si>
  <si>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</si>
  <si>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</si>
  <si>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</si>
  <si>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</si>
  <si>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</si>
  <si>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</si>
  <si>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</si>
  <si>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</si>
  <si>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</si>
  <si>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</si>
  <si>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</si>
  <si>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</si>
  <si>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</si>
  <si>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</si>
  <si>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</si>
  <si>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</si>
  <si>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</si>
  <si>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</si>
  <si>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</si>
  <si>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</si>
  <si>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</si>
  <si>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</si>
  <si>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</si>
  <si>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</si>
  <si>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</si>
  <si>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</si>
  <si>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</si>
  <si>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</si>
  <si>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</si>
  <si>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</si>
  <si>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</si>
  <si>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</si>
  <si>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</si>
  <si>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</si>
  <si>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</si>
  <si>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</si>
  <si>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</si>
  <si>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</si>
  <si>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</si>
  <si>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</si>
  <si>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</si>
  <si>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</si>
  <si>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</si>
  <si>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</si>
  <si>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</si>
  <si>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</si>
  <si>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</si>
  <si>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</si>
  <si>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</si>
  <si>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</si>
  <si>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</si>
  <si>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</si>
  <si>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</si>
  <si>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</si>
  <si>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</si>
  <si>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</si>
  <si>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</si>
  <si>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</si>
  <si>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</si>
  <si>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</si>
  <si>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</si>
  <si>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</si>
  <si>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</si>
  <si>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</si>
  <si>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</si>
  <si>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</si>
  <si>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</si>
  <si>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</si>
  <si>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</si>
  <si>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</si>
  <si>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</si>
  <si>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</si>
  <si>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</si>
  <si>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</si>
  <si>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</si>
  <si>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</si>
  <si>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</si>
  <si>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</si>
  <si>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</si>
  <si>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</si>
  <si>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</si>
  <si>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</si>
  <si>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</si>
  <si>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</si>
  <si>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</si>
  <si>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</si>
  <si>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</si>
  <si>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</si>
  <si>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</si>
  <si>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</si>
  <si>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</si>
  <si>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</si>
  <si>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</si>
  <si>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</si>
  <si>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</si>
  <si>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</si>
  <si>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</si>
  <si>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</si>
  <si>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</si>
  <si>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</si>
  <si>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</si>
  <si>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</si>
  <si>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</si>
  <si>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</si>
  <si>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</si>
  <si>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</si>
  <si>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</si>
  <si>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</si>
  <si>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</si>
  <si>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</si>
  <si>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</si>
  <si>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</si>
  <si>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</si>
  <si>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</si>
  <si>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</si>
  <si>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</si>
  <si>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</si>
  <si>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</si>
  <si>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</si>
  <si>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</si>
  <si>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</si>
  <si>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</si>
  <si>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</si>
  <si>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</si>
  <si>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</si>
  <si>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</si>
  <si>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</si>
  <si>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</si>
  <si>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</si>
  <si>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</si>
  <si>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</si>
  <si>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</si>
  <si>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</si>
  <si>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</si>
  <si>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</si>
  <si>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</si>
  <si>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</si>
  <si>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</si>
  <si>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</si>
  <si>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</si>
  <si>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</si>
  <si>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</si>
  <si>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</si>
  <si>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</si>
  <si>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</si>
  <si>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</si>
  <si>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</si>
  <si>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</si>
  <si>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</si>
  <si>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</si>
  <si>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</si>
  <si>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</si>
  <si>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</si>
  <si>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</si>
  <si>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</si>
  <si>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</si>
  <si>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</si>
  <si>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</si>
  <si>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</si>
  <si>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</si>
  <si>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</si>
  <si>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</si>
  <si>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</si>
  <si>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</si>
  <si>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</si>
  <si>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</si>
  <si>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</si>
  <si>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</si>
  <si>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</si>
  <si>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</si>
  <si>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</si>
  <si>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</si>
  <si>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</si>
  <si>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</si>
  <si>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</si>
  <si>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</si>
  <si>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</si>
  <si>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</si>
  <si>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</si>
  <si>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</si>
  <si>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</si>
  <si>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</si>
  <si>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</si>
  <si>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</si>
  <si>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</si>
  <si>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</si>
  <si>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</si>
  <si>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</si>
  <si>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</si>
  <si>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</si>
  <si>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</si>
  <si>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</si>
  <si>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</si>
  <si>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</si>
  <si>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</si>
  <si>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</si>
  <si>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</si>
  <si>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</si>
  <si>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</si>
  <si>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</si>
  <si>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</si>
  <si>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</si>
  <si>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</si>
  <si>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</si>
  <si>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</si>
  <si>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</si>
  <si>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</si>
  <si>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</si>
  <si>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</si>
  <si>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</si>
  <si>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</si>
  <si>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</si>
  <si>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</si>
  <si>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</si>
  <si>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</si>
  <si>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</si>
  <si>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</si>
  <si>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</si>
  <si>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</si>
  <si>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</si>
  <si>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</si>
  <si>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</si>
  <si>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</si>
  <si>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</si>
  <si>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</si>
  <si>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</si>
  <si>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</si>
  <si>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</si>
  <si>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</si>
  <si>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</si>
  <si>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</si>
  <si>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</si>
  <si>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</si>
  <si>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</si>
  <si>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</si>
  <si>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</si>
  <si>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</si>
  <si>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</si>
  <si>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</si>
  <si>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</si>
  <si>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</si>
  <si>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</si>
  <si>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</si>
  <si>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</si>
  <si>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</si>
  <si>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</si>
  <si>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</si>
  <si>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</si>
  <si>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</si>
  <si>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</si>
  <si>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</si>
  <si>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</si>
  <si>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</si>
  <si>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</si>
  <si>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</si>
  <si>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</si>
  <si>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</si>
  <si>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</si>
  <si>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</si>
  <si>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</si>
  <si>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</si>
  <si>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</si>
  <si>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</si>
  <si>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</si>
  <si>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</si>
  <si>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</si>
  <si>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</si>
  <si>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</si>
  <si>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</si>
  <si>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</si>
  <si>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</si>
  <si>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</si>
  <si>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</si>
  <si>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</si>
  <si>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</si>
  <si>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</si>
  <si>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</si>
  <si>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</si>
  <si>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</si>
  <si>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</si>
  <si>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</si>
  <si>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</si>
  <si>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</si>
  <si>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</si>
  <si>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</si>
  <si>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</si>
  <si>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</si>
  <si>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</si>
  <si>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</si>
  <si>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</si>
  <si>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</si>
  <si>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</si>
  <si>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</si>
  <si>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</si>
  <si>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</si>
  <si>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</si>
  <si>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</si>
  <si>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</si>
  <si>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</si>
  <si>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</si>
  <si>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</si>
  <si>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</si>
  <si>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</si>
  <si>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</si>
  <si>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</si>
  <si>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</si>
  <si>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</si>
  <si>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</si>
  <si>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</si>
  <si>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</si>
  <si>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</si>
  <si>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</si>
  <si>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</si>
  <si>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</si>
  <si>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</si>
  <si>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</si>
  <si>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</si>
  <si>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</si>
  <si>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</si>
  <si>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</si>
  <si>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</si>
  <si>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</si>
  <si>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</si>
  <si>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</si>
  <si>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</si>
  <si>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</si>
  <si>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</si>
  <si>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</si>
  <si>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</si>
  <si>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</si>
  <si>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</si>
  <si>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</si>
  <si>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</si>
  <si>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</si>
  <si>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</si>
  <si>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</si>
  <si>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</si>
  <si>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</si>
  <si>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</si>
  <si>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</si>
  <si>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</si>
  <si>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</si>
  <si>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</si>
  <si>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</si>
  <si>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</si>
  <si>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</si>
  <si>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</si>
  <si>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</si>
  <si>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</si>
  <si>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</si>
  <si>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</si>
  <si>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</si>
  <si>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</si>
  <si>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</si>
  <si>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</si>
  <si>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</si>
  <si>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</si>
  <si>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</si>
  <si>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</si>
  <si>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</si>
  <si>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</si>
  <si>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</si>
  <si>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</si>
  <si>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</si>
  <si>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</si>
  <si>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</si>
  <si>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</si>
  <si>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</si>
  <si>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</si>
  <si>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</si>
  <si>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</si>
  <si>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</si>
  <si>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</si>
  <si>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</si>
  <si>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</si>
  <si>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</si>
  <si>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</si>
  <si>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</si>
  <si>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</si>
  <si>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</si>
  <si>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</si>
  <si>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</si>
  <si>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</si>
  <si>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</si>
  <si>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</si>
  <si>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</si>
  <si>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</si>
  <si>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</si>
  <si>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</si>
  <si>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</si>
  <si>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</si>
  <si>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</si>
  <si>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</si>
  <si>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</si>
  <si>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</si>
  <si>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</si>
  <si>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</si>
  <si>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</si>
  <si>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</si>
  <si>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</si>
  <si>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</si>
  <si>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</si>
  <si>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</si>
  <si>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</si>
  <si>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</si>
  <si>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</si>
  <si>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</si>
  <si>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</si>
  <si>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</si>
  <si>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</si>
  <si>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</si>
  <si>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</si>
  <si>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</si>
  <si>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</si>
  <si>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</si>
  <si>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</si>
  <si>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</si>
  <si>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</si>
  <si>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</si>
  <si>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</si>
  <si>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</si>
  <si>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</si>
  <si>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</si>
  <si>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</si>
  <si>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</si>
  <si>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</si>
  <si>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</si>
  <si>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</si>
  <si>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</si>
  <si>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</si>
  <si>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</si>
  <si>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</si>
  <si>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</si>
  <si>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</si>
  <si>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</si>
  <si>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</si>
  <si>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</si>
  <si>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</si>
  <si>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</si>
  <si>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</si>
  <si>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</si>
  <si>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</si>
  <si>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</si>
  <si>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</si>
  <si>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</si>
  <si>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</si>
  <si>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</si>
  <si>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</si>
  <si>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</si>
  <si>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</si>
  <si>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</si>
  <si>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</si>
  <si>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</si>
  <si>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</si>
  <si>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</si>
  <si>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</si>
  <si>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</si>
  <si>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</si>
  <si>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</si>
  <si>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</si>
  <si>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</si>
  <si>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</si>
  <si>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</si>
  <si>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</si>
  <si>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</si>
  <si>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</si>
  <si>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</si>
  <si>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</si>
  <si>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</si>
  <si>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</si>
  <si>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</si>
  <si>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</si>
  <si>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</si>
  <si>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</si>
  <si>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</si>
  <si>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</si>
  <si>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</si>
  <si>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</si>
  <si>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</si>
  <si>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</si>
  <si>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</si>
  <si>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</si>
  <si>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</si>
  <si>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</si>
  <si>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</si>
  <si>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</si>
  <si>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</si>
  <si>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</si>
  <si>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</si>
  <si>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</si>
  <si>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</si>
  <si>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</si>
  <si>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</si>
  <si>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</si>
  <si>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</si>
  <si>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</si>
  <si>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</si>
  <si>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</si>
  <si>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</si>
  <si>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</si>
  <si>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</si>
  <si>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</si>
  <si>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</si>
  <si>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</si>
  <si>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</si>
  <si>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</si>
  <si>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</si>
  <si>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</si>
  <si>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</si>
  <si>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</si>
  <si>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</si>
  <si>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</si>
  <si>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</si>
  <si>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</si>
  <si>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</si>
  <si>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</si>
  <si>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</si>
  <si>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</si>
  <si>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</si>
  <si>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</si>
  <si>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</si>
  <si>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</si>
  <si>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</si>
  <si>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</si>
  <si>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</si>
  <si>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</si>
  <si>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</si>
  <si>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</si>
  <si>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</si>
  <si>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</si>
  <si>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</si>
  <si>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</si>
  <si>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</si>
  <si>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</si>
  <si>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</si>
  <si>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</si>
  <si>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</si>
  <si>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</si>
  <si>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</si>
  <si>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</si>
  <si>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</si>
  <si>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</si>
  <si>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</si>
  <si>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</si>
  <si>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</si>
  <si>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</si>
  <si>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</si>
  <si>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</si>
  <si>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</si>
  <si>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</si>
  <si>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</si>
  <si>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</si>
  <si>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</si>
  <si>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</si>
  <si>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</si>
  <si>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</si>
  <si>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</si>
  <si>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</si>
  <si>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</si>
  <si>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</si>
  <si>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</si>
  <si>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</si>
  <si>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</si>
  <si>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</si>
  <si>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</si>
  <si>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</si>
  <si>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</si>
  <si>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</si>
  <si>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</si>
  <si>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</si>
  <si>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</si>
  <si>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</si>
  <si>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</si>
  <si>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</si>
  <si>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</si>
  <si>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</si>
  <si>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</si>
  <si>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</si>
  <si>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</si>
  <si>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</si>
  <si>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</si>
  <si>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</si>
  <si>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</si>
  <si>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</si>
  <si>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</si>
  <si>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</si>
  <si>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</si>
  <si>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</si>
  <si>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</si>
  <si>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</si>
  <si>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</si>
  <si>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</si>
  <si>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</si>
  <si>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</si>
  <si>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</si>
  <si>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</si>
  <si>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</si>
  <si>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</si>
  <si>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</si>
  <si>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</si>
  <si>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</si>
  <si>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</si>
  <si>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</si>
  <si>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</si>
  <si>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</si>
  <si>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</si>
  <si>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</si>
  <si>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</si>
  <si>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</si>
  <si>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</si>
  <si>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</si>
  <si>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</si>
  <si>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</si>
  <si>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</si>
  <si>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</si>
  <si>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</si>
  <si>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</si>
  <si>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</si>
  <si>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</si>
  <si>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</si>
  <si>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</si>
  <si>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</si>
  <si>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</si>
  <si>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</si>
  <si>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</si>
  <si>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</si>
  <si>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</si>
  <si>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</si>
  <si>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</si>
  <si>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</si>
  <si>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</si>
  <si>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</si>
  <si>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</si>
  <si>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</si>
  <si>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</si>
  <si>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</si>
  <si>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</si>
  <si>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</si>
  <si>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</si>
  <si>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</si>
  <si>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</si>
  <si>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</si>
  <si>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</si>
  <si>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</si>
  <si>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</si>
  <si>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</si>
  <si>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</si>
  <si>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</si>
  <si>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</si>
  <si>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</si>
  <si>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</si>
  <si>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</si>
  <si>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</si>
  <si>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</si>
  <si>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</si>
  <si>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</si>
  <si>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</si>
  <si>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</si>
  <si>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</si>
  <si>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</si>
  <si>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</si>
  <si>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</si>
  <si>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</si>
  <si>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</si>
  <si>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</si>
  <si>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</si>
  <si>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</si>
  <si>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</si>
  <si>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</si>
  <si>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</si>
  <si>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</si>
  <si>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</si>
  <si>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</si>
  <si>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</si>
  <si>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</si>
  <si>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</si>
  <si>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</si>
  <si>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</si>
  <si>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</si>
  <si>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</si>
  <si>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</si>
  <si>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</si>
  <si>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</si>
  <si>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</si>
  <si>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</si>
  <si>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</si>
  <si>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</si>
  <si>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</si>
  <si>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</si>
  <si>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</si>
  <si>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</si>
  <si>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</si>
  <si>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</si>
  <si>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</si>
  <si>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</si>
  <si>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</si>
  <si>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</si>
  <si>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</si>
  <si>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</si>
  <si>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</si>
  <si>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</si>
  <si>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</si>
  <si>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</si>
  <si>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</si>
  <si>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</si>
  <si>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</si>
  <si>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</si>
  <si>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</si>
  <si>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</si>
  <si>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</si>
  <si>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</si>
  <si>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</si>
  <si>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</si>
  <si>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</si>
  <si>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</si>
  <si>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</si>
  <si>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</si>
  <si>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</si>
  <si>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</si>
  <si>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</si>
  <si>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</si>
  <si>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</si>
  <si>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</si>
  <si>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</si>
  <si>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</si>
  <si>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</si>
  <si>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</si>
  <si>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</si>
  <si>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</si>
  <si>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</si>
  <si>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</si>
  <si>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</si>
  <si>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</si>
  <si>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</si>
  <si>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</si>
  <si>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</si>
  <si>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</si>
  <si>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</si>
  <si>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</si>
  <si>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</si>
  <si>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</si>
  <si>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</si>
  <si>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</si>
  <si>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</si>
  <si>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</si>
  <si>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</si>
  <si>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</si>
  <si>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</si>
  <si>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</si>
  <si>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</si>
  <si>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</si>
  <si>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</si>
  <si>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</si>
  <si>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</si>
  <si>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</si>
  <si>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</si>
  <si>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</si>
  <si>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</si>
  <si>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</si>
  <si>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</si>
  <si>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</si>
  <si>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</si>
  <si>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</si>
  <si>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</si>
  <si>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</si>
  <si>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</si>
  <si>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</si>
  <si>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</si>
  <si>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</si>
  <si>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</si>
  <si>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</si>
  <si>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</si>
  <si>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</si>
  <si>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</si>
  <si>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</si>
  <si>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</si>
  <si>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</si>
  <si>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</si>
  <si>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</si>
  <si>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</si>
  <si>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</si>
  <si>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</si>
  <si>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</si>
  <si>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</si>
  <si>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</si>
  <si>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</si>
  <si>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</si>
  <si>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</si>
  <si>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</si>
  <si>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</si>
  <si>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</si>
  <si>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</si>
  <si>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</si>
  <si>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</si>
  <si>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</si>
  <si>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</si>
  <si>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</si>
  <si>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</si>
  <si>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</si>
  <si>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</si>
  <si>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</si>
  <si>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</si>
  <si>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</si>
  <si>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</si>
  <si>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</si>
  <si>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</si>
  <si>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</si>
  <si>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</si>
  <si>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</si>
  <si>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</si>
  <si>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</si>
  <si>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</si>
  <si>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</si>
  <si>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</si>
  <si>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</si>
  <si>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</si>
  <si>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</si>
  <si>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</si>
  <si>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</si>
  <si>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</si>
  <si>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</si>
  <si>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</si>
  <si>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</si>
  <si>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</si>
  <si>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</si>
  <si>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</si>
  <si>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</si>
  <si>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</si>
  <si>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</si>
  <si>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</si>
  <si>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</si>
  <si>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</si>
  <si>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</si>
  <si>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</si>
  <si>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</si>
  <si>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</si>
  <si>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</si>
  <si>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</si>
  <si>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</si>
  <si>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</si>
  <si>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</si>
  <si>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</si>
  <si>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</si>
  <si>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</si>
  <si>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</si>
  <si>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</si>
  <si>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</si>
  <si>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</si>
  <si>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</si>
  <si>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</si>
  <si>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</si>
  <si>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</si>
  <si>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</si>
  <si>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</si>
  <si>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</si>
  <si>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</si>
  <si>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</si>
  <si>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</si>
  <si>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</si>
  <si>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</si>
  <si>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</si>
  <si>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</si>
  <si>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</si>
  <si>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</si>
  <si>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</si>
  <si>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</si>
  <si>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</si>
  <si>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</si>
  <si>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</si>
  <si>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</si>
  <si>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</si>
  <si>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</si>
  <si>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</si>
  <si>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</si>
  <si>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</si>
  <si>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</si>
  <si>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</si>
  <si>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</si>
  <si>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</si>
  <si>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</si>
  <si>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</si>
  <si>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</si>
  <si>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</si>
  <si>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</si>
  <si>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</si>
  <si>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</si>
  <si>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</si>
  <si>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</si>
  <si>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</si>
  <si>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</si>
  <si>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</si>
  <si>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</si>
  <si>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</si>
  <si>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</si>
  <si>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</si>
  <si>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</si>
  <si>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</si>
  <si>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</si>
  <si>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</si>
  <si>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</si>
  <si>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</si>
  <si>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</si>
  <si>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</si>
  <si>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</si>
  <si>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</si>
  <si>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</si>
  <si>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</si>
  <si>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</si>
  <si>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</si>
  <si>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</si>
  <si>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</si>
  <si>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</si>
  <si>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</si>
  <si>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</si>
  <si>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</si>
  <si>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</si>
  <si>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</si>
  <si>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</si>
  <si>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</si>
  <si>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</si>
  <si>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</si>
  <si>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</si>
  <si>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</si>
  <si>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</si>
  <si>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</si>
  <si>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</si>
  <si>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</si>
  <si>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</si>
  <si>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</si>
  <si>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</si>
  <si>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</si>
  <si>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</si>
  <si>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</si>
  <si>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</si>
  <si>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</si>
  <si>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</si>
  <si>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</si>
  <si>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</si>
  <si>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</si>
  <si>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</si>
  <si>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</si>
  <si>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</si>
  <si>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</si>
  <si>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</si>
  <si>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</si>
  <si>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</si>
  <si>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</si>
  <si>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</si>
  <si>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</si>
  <si>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</si>
  <si>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</si>
  <si>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</si>
  <si>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</si>
  <si>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</si>
  <si>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</si>
  <si>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</si>
  <si>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</si>
  <si>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</si>
  <si>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</si>
  <si>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</si>
  <si>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</si>
  <si>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</si>
  <si>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</si>
  <si>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</si>
  <si>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</si>
  <si>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</si>
  <si>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</si>
  <si>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</si>
  <si>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</si>
  <si>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</si>
  <si>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</si>
  <si>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</si>
  <si>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</si>
  <si>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</si>
  <si>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</si>
  <si>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</si>
  <si>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</si>
  <si>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</si>
  <si>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</si>
  <si>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</si>
  <si>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</si>
  <si>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</si>
  <si>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</si>
  <si>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</si>
  <si>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</si>
  <si>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</si>
  <si>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</si>
  <si>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</si>
  <si>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</si>
  <si>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</si>
  <si>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</si>
  <si>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</si>
  <si>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</si>
  <si>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</si>
  <si>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</si>
  <si>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</si>
  <si>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</si>
  <si>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</si>
  <si>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</si>
  <si>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</si>
  <si>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</si>
  <si>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</si>
  <si>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</si>
  <si>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</si>
  <si>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</si>
  <si>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</si>
  <si>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</si>
  <si>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</si>
  <si>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</si>
  <si>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</si>
  <si>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</si>
  <si>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</si>
  <si>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</si>
  <si>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</si>
  <si>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</si>
  <si>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</si>
  <si>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</si>
  <si>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</si>
  <si>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</si>
  <si>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</si>
  <si>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</si>
  <si>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</si>
  <si>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</si>
  <si>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</si>
  <si>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</si>
  <si>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</si>
  <si>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</si>
  <si>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</si>
  <si>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</si>
  <si>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</si>
  <si>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</si>
  <si>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</si>
  <si>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</si>
  <si>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</si>
  <si>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</si>
  <si>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</si>
  <si>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</si>
  <si>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</si>
  <si>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</si>
  <si>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</si>
  <si>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</si>
  <si>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</si>
  <si>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</si>
  <si>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</si>
  <si>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</si>
  <si>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</si>
  <si>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</si>
  <si>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</si>
  <si>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</si>
  <si>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</si>
  <si>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</si>
  <si>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</si>
  <si>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</si>
  <si>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</si>
  <si>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</si>
  <si>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</si>
  <si>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</si>
  <si>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</si>
  <si>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</si>
  <si>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</si>
  <si>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</si>
  <si>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</si>
  <si>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</si>
  <si>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</si>
  <si>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</si>
  <si>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</si>
  <si>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</si>
  <si>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</si>
  <si>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</si>
  <si>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</si>
  <si>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</si>
  <si>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</si>
  <si>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</si>
  <si>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</si>
  <si>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</si>
  <si>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</si>
  <si>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</si>
  <si>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</si>
  <si>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</si>
  <si>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</si>
  <si>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</si>
  <si>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</si>
  <si>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</si>
  <si>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</si>
  <si>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</si>
  <si>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</si>
  <si>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</si>
  <si>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</si>
  <si>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</si>
  <si>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</si>
  <si>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</si>
  <si>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</si>
  <si>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</si>
  <si>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</si>
  <si>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</si>
  <si>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</si>
  <si>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</si>
  <si>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</si>
  <si>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</si>
  <si>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</si>
  <si>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</si>
  <si>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</si>
  <si>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</si>
  <si>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</si>
  <si>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</si>
  <si>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</si>
  <si>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</si>
  <si>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</si>
  <si>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</si>
  <si>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</si>
  <si>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</si>
  <si>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</si>
  <si>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</si>
  <si>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</si>
  <si>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</si>
  <si>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</si>
  <si>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</si>
  <si>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</si>
  <si>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</si>
  <si>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</si>
  <si>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</si>
  <si>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</si>
  <si>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</si>
  <si>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</si>
  <si>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</si>
  <si>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</si>
  <si>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</si>
  <si>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</si>
  <si>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</si>
  <si>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</si>
  <si>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</si>
  <si>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</si>
  <si>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</si>
  <si>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</si>
  <si>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</si>
  <si>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</si>
  <si>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</si>
  <si>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</si>
  <si>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</si>
  <si>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</si>
  <si>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</si>
  <si>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</si>
  <si>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</si>
  <si>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</si>
  <si>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</si>
  <si>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</si>
  <si>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</si>
  <si>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</si>
  <si>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</si>
  <si>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</si>
  <si>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</si>
  <si>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</si>
  <si>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</si>
  <si>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</si>
  <si>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</si>
  <si>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</si>
  <si>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</si>
  <si>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</si>
  <si>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</si>
  <si>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</si>
  <si>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</si>
  <si>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</si>
  <si>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</si>
  <si>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</si>
  <si>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</si>
  <si>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</si>
  <si>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</si>
  <si>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</si>
  <si>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</si>
  <si>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</si>
  <si>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</si>
  <si>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</si>
  <si>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</si>
  <si>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</si>
  <si>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</si>
  <si>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</si>
  <si>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</si>
  <si>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</si>
  <si>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</si>
  <si>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</si>
  <si>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</si>
  <si>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</si>
  <si>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</si>
  <si>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</si>
  <si>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</si>
  <si>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</si>
  <si>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</si>
  <si>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</si>
  <si>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</si>
  <si>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</si>
  <si>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</si>
  <si>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</si>
  <si>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</si>
  <si>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</si>
  <si>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</si>
  <si>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</si>
  <si>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</si>
  <si>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</si>
  <si>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</si>
  <si>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</si>
  <si>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</si>
  <si>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</si>
  <si>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</si>
  <si>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</si>
  <si>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</si>
  <si>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</si>
  <si>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</si>
  <si>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</si>
  <si>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</si>
  <si>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</si>
  <si>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</si>
  <si>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</si>
  <si>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</si>
  <si>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</si>
  <si>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</si>
  <si>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</si>
  <si>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</si>
  <si>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</si>
  <si>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</si>
  <si>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</si>
  <si>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</si>
  <si>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</si>
  <si>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</si>
  <si>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</si>
  <si>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</si>
  <si>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</si>
  <si>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</si>
  <si>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</si>
  <si>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</si>
  <si>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</si>
  <si>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</si>
  <si>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</si>
  <si>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</si>
  <si>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</si>
  <si>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</si>
  <si>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</si>
  <si>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</si>
  <si>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</si>
  <si>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</si>
  <si>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</si>
  <si>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</si>
  <si>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</si>
  <si>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</si>
  <si>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</si>
  <si>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</si>
  <si>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</si>
  <si>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</si>
  <si>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</si>
  <si>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</si>
  <si>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</si>
  <si>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</si>
  <si>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</si>
  <si>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</si>
  <si>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</si>
  <si>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</si>
  <si>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</si>
  <si>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</si>
  <si>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</si>
  <si>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</si>
  <si>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</si>
  <si>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</si>
  <si>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</si>
  <si>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</si>
  <si>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</si>
  <si>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</si>
  <si>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</si>
  <si>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</si>
  <si>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</si>
  <si>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</si>
  <si>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</si>
  <si>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</si>
  <si>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</si>
  <si>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</si>
  <si>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</si>
  <si>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</si>
  <si>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</si>
  <si>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</si>
  <si>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</si>
  <si>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</si>
  <si>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</si>
  <si>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</si>
  <si>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</si>
  <si>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</si>
  <si>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</si>
  <si>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</si>
  <si>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</si>
  <si>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</si>
  <si>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</si>
  <si>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</si>
  <si>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</si>
  <si>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</si>
  <si>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</si>
  <si>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</si>
  <si>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</si>
  <si>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</si>
  <si>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</si>
  <si>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</si>
  <si>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</si>
  <si>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</si>
  <si>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</si>
  <si>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</si>
  <si>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</si>
  <si>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</si>
  <si>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</si>
  <si>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</si>
  <si>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</si>
  <si>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</si>
  <si>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</si>
  <si>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</si>
  <si>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</si>
  <si>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</si>
  <si>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</si>
  <si>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</si>
  <si>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</si>
  <si>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</si>
  <si>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</si>
  <si>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</si>
  <si>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</si>
  <si>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</si>
  <si>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</si>
  <si>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</si>
  <si>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</si>
  <si>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</si>
  <si>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</si>
  <si>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</si>
  <si>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</si>
  <si>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</si>
  <si>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</si>
  <si>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</si>
  <si>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</si>
  <si>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</si>
  <si>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</si>
  <si>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</si>
  <si>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</si>
  <si>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</si>
  <si>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</si>
  <si>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</si>
  <si>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</si>
  <si>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</si>
  <si>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</si>
  <si>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</si>
  <si>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</si>
  <si>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</si>
  <si>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</si>
  <si>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</si>
  <si>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</si>
  <si>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</si>
  <si>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</si>
  <si>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</si>
  <si>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</si>
  <si>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</si>
  <si>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</si>
  <si>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</si>
  <si>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</si>
  <si>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</si>
  <si>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</si>
  <si>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</si>
  <si>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</si>
  <si>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</si>
  <si>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</si>
  <si>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</si>
  <si>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</si>
  <si>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</si>
  <si>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</si>
  <si>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</si>
  <si>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</si>
  <si>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</si>
  <si>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</si>
  <si>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</si>
  <si>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</si>
  <si>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</si>
  <si>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</si>
  <si>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</si>
  <si>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</si>
  <si>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</si>
  <si>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</si>
  <si>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</si>
  <si>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</si>
  <si>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</si>
  <si>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</si>
  <si>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</si>
  <si>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</si>
  <si>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</si>
  <si>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</si>
  <si>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</si>
  <si>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</si>
  <si>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</si>
  <si>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</si>
  <si>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</si>
  <si>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</si>
  <si>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</si>
  <si>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</si>
  <si>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</si>
  <si>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</si>
  <si>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</si>
  <si>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</si>
  <si>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</si>
  <si>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</si>
  <si>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</si>
  <si>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</si>
  <si>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</si>
  <si>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</si>
  <si>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</si>
  <si>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</si>
  <si>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</si>
  <si>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</si>
  <si>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</si>
  <si>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</si>
  <si>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</si>
  <si>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</si>
  <si>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</si>
  <si>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</si>
  <si>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</si>
  <si>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</si>
  <si>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</si>
  <si>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</si>
  <si>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</si>
  <si>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</si>
  <si>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</si>
  <si>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</si>
  <si>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</si>
  <si>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</si>
  <si>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</si>
  <si>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</si>
  <si>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</si>
  <si>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</si>
  <si>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</si>
  <si>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</si>
  <si>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</si>
  <si>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</si>
  <si>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</si>
  <si>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</si>
  <si>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</si>
  <si>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</si>
  <si>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</si>
  <si>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</si>
  <si>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</si>
  <si>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</si>
  <si>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</si>
  <si>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</si>
  <si>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</si>
  <si>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</si>
  <si>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</si>
  <si>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</si>
  <si>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</si>
  <si>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</si>
  <si>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</si>
  <si>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</si>
  <si>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</si>
  <si>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</si>
  <si>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</si>
  <si>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</si>
  <si>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</si>
  <si>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</si>
  <si>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</si>
  <si>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</si>
  <si>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</si>
  <si>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</si>
  <si>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</si>
  <si>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</si>
  <si>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</si>
  <si>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</si>
  <si>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</si>
  <si>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</si>
  <si>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</si>
  <si>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</si>
  <si>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</si>
  <si>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</si>
  <si>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</si>
  <si>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</si>
  <si>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</si>
  <si>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</si>
  <si>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</si>
  <si>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</si>
  <si>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</si>
  <si>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</si>
  <si>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</si>
  <si>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</si>
  <si>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</si>
  <si>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</si>
  <si>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</si>
  <si>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</si>
  <si>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</si>
  <si>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</si>
  <si>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</si>
  <si>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</si>
  <si>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</si>
  <si>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</si>
  <si>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</si>
  <si>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</si>
  <si>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</si>
  <si>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</si>
  <si>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</si>
  <si>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</si>
  <si>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</si>
  <si>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</si>
  <si>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</si>
  <si>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</si>
  <si>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</si>
  <si>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</si>
  <si>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</si>
  <si>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</si>
  <si>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</si>
  <si>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</si>
  <si>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</si>
  <si>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</si>
  <si>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</si>
  <si>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</si>
  <si>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</si>
  <si>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</si>
  <si>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</si>
  <si>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</si>
  <si>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</si>
  <si>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</si>
  <si>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</si>
  <si>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</si>
  <si>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</si>
  <si>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</si>
  <si>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</si>
  <si>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</si>
  <si>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</si>
  <si>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</si>
  <si>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</si>
  <si>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</si>
  <si>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</si>
  <si>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</si>
  <si>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</si>
  <si>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</si>
  <si>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</si>
  <si>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</si>
  <si>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</si>
  <si>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</si>
  <si>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</si>
  <si>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</si>
  <si>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</si>
  <si>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</si>
  <si>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</si>
  <si>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</si>
  <si>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</si>
  <si>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</si>
  <si>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</si>
  <si>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</si>
  <si>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</si>
  <si>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</si>
  <si>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</si>
  <si>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</si>
  <si>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</si>
  <si>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</si>
  <si>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</si>
  <si>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</si>
  <si>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</si>
  <si>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</si>
  <si>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</si>
  <si>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</si>
  <si>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</si>
  <si>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</si>
  <si>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</si>
  <si>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</si>
  <si>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</si>
  <si>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</si>
  <si>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</si>
  <si>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</si>
  <si>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</si>
  <si>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</si>
  <si>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</si>
  <si>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</si>
  <si>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</si>
  <si>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</si>
  <si>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</si>
  <si>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</si>
  <si>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</si>
  <si>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</si>
  <si>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</si>
  <si>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</si>
  <si>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</si>
  <si>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</si>
  <si>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</si>
  <si>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</si>
  <si>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</si>
  <si>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</si>
  <si>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</si>
  <si>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</si>
  <si>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</si>
  <si>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</si>
  <si>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</si>
  <si>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</si>
  <si>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</si>
  <si>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</si>
  <si>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</si>
  <si>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</si>
  <si>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</si>
  <si>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</si>
  <si>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</si>
  <si>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</si>
  <si>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</si>
  <si>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</si>
  <si>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</si>
  <si>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</si>
  <si>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</si>
  <si>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</si>
  <si>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</si>
  <si>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</si>
  <si>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</si>
  <si>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</si>
  <si>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</si>
  <si>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</si>
  <si>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</si>
  <si>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</si>
  <si>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</si>
  <si>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</si>
  <si>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</si>
  <si>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</si>
  <si>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</si>
  <si>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</si>
  <si>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</si>
  <si>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</si>
  <si>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</si>
  <si>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</si>
  <si>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</si>
  <si>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</si>
  <si>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</si>
  <si>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</si>
  <si>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</si>
  <si>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</si>
  <si>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</si>
  <si>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</si>
  <si>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</si>
  <si>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</si>
  <si>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</si>
  <si>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</si>
  <si>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</si>
  <si>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</si>
  <si>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</si>
  <si>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</si>
  <si>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</si>
  <si>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</si>
  <si>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</si>
  <si>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</si>
  <si>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</si>
  <si>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</si>
  <si>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</si>
  <si>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</si>
  <si>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</si>
  <si>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</si>
  <si>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</si>
  <si>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</si>
  <si>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</si>
  <si>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</si>
  <si>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</si>
  <si>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</si>
  <si>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</si>
  <si>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</si>
  <si>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</si>
  <si>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</si>
  <si>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</si>
  <si>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</si>
  <si>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</si>
  <si>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</si>
  <si>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</si>
  <si>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</si>
  <si>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</si>
  <si>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</si>
  <si>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</si>
  <si>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</si>
  <si>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</si>
  <si>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</si>
  <si>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</si>
  <si>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</si>
  <si>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</si>
  <si>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</si>
  <si>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</si>
  <si>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</si>
  <si>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</si>
  <si>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</si>
  <si>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</si>
  <si>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</si>
  <si>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</si>
  <si>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</si>
  <si>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</si>
  <si>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</si>
  <si>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</si>
  <si>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</si>
  <si>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</si>
  <si>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</si>
  <si>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</si>
  <si>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</si>
  <si>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</si>
  <si>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</si>
  <si>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</si>
  <si>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</si>
  <si>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</si>
  <si>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</si>
  <si>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</si>
  <si>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</si>
  <si>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</si>
  <si>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</si>
  <si>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</si>
  <si>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</si>
  <si>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</si>
  <si>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</si>
  <si>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</si>
  <si>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</si>
  <si>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</si>
  <si>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</si>
  <si>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</si>
  <si>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</si>
  <si>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</si>
  <si>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</si>
  <si>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</si>
  <si>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</si>
  <si>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</si>
  <si>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</si>
  <si>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</si>
  <si>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</si>
  <si>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</si>
  <si>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</si>
  <si>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</si>
  <si>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</si>
  <si>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</si>
  <si>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</si>
  <si>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</si>
  <si>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</si>
  <si>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</si>
  <si>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</si>
  <si>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</si>
  <si>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</si>
  <si>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</si>
  <si>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</si>
  <si>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</si>
  <si>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</si>
  <si>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</si>
  <si>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</si>
  <si>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</si>
  <si>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</si>
  <si>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</si>
  <si>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</si>
  <si>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</si>
  <si>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</si>
  <si>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</si>
  <si>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</si>
  <si>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</si>
  <si>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</si>
  <si>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</si>
  <si>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</si>
  <si>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</si>
  <si>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</si>
  <si>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</si>
  <si>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</si>
  <si>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</si>
  <si>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</si>
  <si>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</si>
  <si>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</si>
  <si>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</si>
  <si>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</si>
  <si>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</si>
  <si>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</si>
  <si>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</si>
  <si>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</si>
  <si>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</si>
  <si>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</si>
  <si>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</si>
  <si>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</si>
  <si>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</si>
  <si>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</si>
  <si>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</si>
  <si>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</si>
  <si>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</si>
  <si>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</si>
  <si>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</si>
  <si>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</si>
  <si>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</si>
  <si>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</si>
  <si>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</si>
  <si>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</si>
  <si>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</si>
  <si>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</si>
  <si>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</si>
  <si>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</si>
  <si>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</si>
  <si>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</si>
  <si>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</si>
  <si>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</si>
  <si>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</si>
  <si>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</si>
  <si>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</si>
  <si>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</si>
  <si>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</si>
  <si>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</si>
  <si>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</si>
  <si>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</si>
  <si>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</si>
  <si>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</si>
  <si>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</si>
  <si>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</si>
  <si>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</si>
  <si>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</si>
  <si>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</si>
  <si>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</si>
  <si>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</si>
  <si>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</si>
  <si>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</si>
  <si>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</si>
  <si>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</si>
  <si>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</si>
  <si>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</si>
  <si>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</si>
  <si>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</si>
  <si>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</si>
  <si>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</si>
  <si>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</si>
  <si>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</si>
  <si>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</si>
  <si>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</si>
  <si>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</si>
  <si>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</si>
  <si>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</si>
  <si>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</si>
  <si>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</si>
  <si>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</si>
  <si>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</si>
  <si>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</si>
  <si>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</si>
  <si>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</si>
  <si>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</si>
  <si>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</si>
  <si>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</si>
  <si>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</si>
  <si>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</si>
  <si>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</si>
  <si>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</si>
  <si>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</si>
  <si>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</si>
  <si>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</si>
  <si>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</si>
  <si>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</si>
  <si>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</si>
  <si>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</si>
  <si>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</si>
  <si>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</si>
  <si>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</si>
  <si>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</si>
  <si>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</si>
  <si>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</si>
  <si>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</si>
  <si>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</si>
  <si>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</si>
  <si>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</si>
  <si>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</si>
  <si>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</si>
  <si>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</si>
  <si>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</si>
  <si>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</si>
  <si>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</si>
  <si>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</si>
  <si>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</si>
  <si>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</si>
  <si>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</si>
  <si>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</si>
  <si>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</si>
  <si>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</si>
  <si>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</si>
  <si>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</si>
  <si>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</si>
  <si>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</si>
  <si>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</si>
  <si>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</si>
  <si>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</si>
  <si>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</si>
  <si>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</si>
  <si>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</si>
  <si>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</si>
  <si>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</si>
  <si>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</si>
  <si>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</si>
  <si>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</si>
  <si>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</si>
  <si>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</si>
  <si>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</si>
  <si>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</si>
  <si>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</si>
  <si>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</si>
  <si>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</si>
  <si>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</si>
  <si>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</si>
  <si>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</si>
  <si>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</si>
  <si>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</si>
  <si>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</si>
  <si>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</si>
  <si>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</si>
  <si>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</si>
  <si>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</si>
  <si>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</si>
  <si>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</si>
  <si>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</si>
  <si>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</si>
  <si>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</si>
  <si>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</si>
  <si>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</si>
  <si>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</si>
  <si>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</si>
  <si>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</si>
  <si>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</si>
  <si>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</si>
  <si>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</si>
  <si>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</si>
  <si>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</si>
  <si>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</si>
  <si>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</si>
  <si>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</si>
  <si>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</si>
  <si>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</si>
  <si>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</si>
  <si>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</si>
  <si>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</si>
  <si>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</si>
  <si>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</si>
  <si>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</si>
  <si>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</si>
  <si>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</si>
  <si>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</si>
  <si>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</si>
  <si>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</si>
  <si>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</si>
  <si>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</si>
  <si>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</si>
  <si>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</si>
  <si>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</si>
  <si>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</si>
  <si>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</si>
  <si>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</si>
  <si>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</si>
  <si>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</si>
  <si>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</si>
  <si>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</si>
  <si>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</si>
  <si>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</si>
  <si>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</si>
  <si>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</si>
  <si>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</si>
  <si>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</si>
  <si>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</si>
  <si>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</si>
  <si>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</si>
  <si>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</si>
  <si>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</si>
  <si>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</si>
  <si>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</si>
  <si>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</si>
  <si>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</si>
  <si>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</si>
  <si>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</si>
  <si>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</si>
  <si>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</si>
  <si>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</si>
  <si>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</si>
  <si>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</si>
  <si>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</si>
  <si>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</si>
  <si>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</si>
  <si>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</si>
  <si>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</si>
  <si>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</si>
  <si>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</si>
  <si>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</si>
  <si>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</si>
  <si>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</si>
  <si>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</si>
  <si>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</si>
  <si>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</si>
  <si>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</si>
  <si>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</si>
  <si>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</si>
  <si>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</si>
  <si>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</si>
  <si>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</si>
  <si>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</si>
  <si>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</si>
  <si>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</si>
  <si>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</si>
  <si>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</si>
  <si>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</si>
  <si>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</si>
  <si>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</si>
  <si>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</si>
  <si>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</si>
  <si>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</si>
  <si>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</si>
  <si>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</si>
  <si>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</si>
  <si>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</si>
  <si>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</si>
  <si>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</si>
  <si>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</si>
  <si>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</si>
  <si>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</si>
  <si>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</si>
  <si>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</si>
  <si>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</si>
  <si>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</si>
  <si>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</si>
  <si>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</si>
  <si>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</si>
  <si>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</si>
  <si>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</si>
  <si>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</si>
  <si>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</si>
  <si>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</si>
  <si>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</si>
  <si>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</si>
  <si>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</si>
  <si>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</si>
  <si>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</si>
  <si>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</si>
  <si>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</si>
  <si>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</si>
  <si>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</si>
  <si>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</si>
  <si>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</si>
  <si>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</si>
  <si>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</si>
  <si>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</si>
  <si>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</si>
  <si>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</si>
  <si>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</si>
  <si>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</si>
  <si>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</si>
  <si>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</si>
  <si>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</si>
  <si>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</si>
  <si>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</si>
  <si>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</si>
  <si>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</si>
  <si>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</si>
  <si>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</si>
  <si>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</si>
  <si>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</si>
  <si>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</si>
  <si>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</si>
  <si>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</si>
  <si>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</si>
  <si>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</si>
  <si>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</si>
  <si>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</si>
  <si>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</si>
  <si>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</si>
  <si>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</si>
  <si>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</si>
  <si>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</si>
  <si>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</si>
  <si>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</si>
  <si>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</si>
  <si>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</si>
  <si>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</si>
  <si>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</si>
  <si>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</si>
  <si>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</si>
  <si>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</si>
  <si>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</si>
  <si>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</si>
  <si>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</si>
  <si>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</si>
  <si>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</si>
  <si>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</si>
  <si>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</si>
  <si>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</si>
  <si>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</si>
  <si>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</si>
  <si>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</si>
  <si>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</si>
  <si>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</si>
  <si>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</si>
  <si>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</si>
  <si>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</si>
  <si>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</si>
  <si>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</si>
  <si>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</si>
  <si>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</si>
  <si>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</si>
  <si>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</si>
  <si>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</si>
  <si>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</si>
  <si>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</si>
  <si>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</si>
  <si>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</si>
  <si>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</si>
  <si>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</si>
  <si>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</si>
  <si>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</si>
  <si>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</si>
  <si>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</si>
  <si>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</si>
  <si>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</si>
  <si>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</si>
  <si>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</si>
  <si>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</si>
  <si>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</si>
  <si>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</si>
  <si>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</si>
  <si>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</si>
  <si>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</si>
  <si>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</si>
  <si>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</si>
  <si>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</si>
  <si>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</si>
  <si>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</si>
  <si>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</si>
  <si>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</si>
  <si>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</si>
  <si>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</si>
  <si>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</si>
  <si>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</si>
  <si>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</si>
  <si>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</si>
  <si>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</si>
  <si>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</si>
  <si>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</si>
  <si>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</si>
  <si>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</si>
  <si>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</si>
  <si>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</si>
  <si>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</si>
  <si>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</si>
  <si>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</si>
  <si>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</si>
  <si>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</si>
  <si>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</si>
  <si>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</si>
  <si>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</si>
  <si>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</si>
  <si>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</si>
  <si>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</si>
  <si>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</si>
  <si>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</si>
  <si>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</si>
  <si>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</si>
  <si>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</si>
  <si>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</si>
  <si>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</si>
  <si>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</si>
  <si>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</si>
  <si>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</si>
  <si>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</si>
  <si>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</si>
  <si>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</si>
  <si>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</si>
  <si>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</si>
  <si>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</si>
  <si>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</si>
  <si>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</si>
  <si>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</si>
  <si>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</si>
  <si>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</si>
  <si>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</si>
  <si>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</si>
  <si>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</si>
  <si>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</si>
  <si>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</si>
  <si>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</si>
  <si>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</si>
  <si>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</si>
  <si>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</si>
  <si>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</si>
  <si>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</si>
  <si>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</si>
  <si>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</si>
  <si>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</si>
  <si>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</si>
  <si>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</si>
  <si>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</si>
  <si>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</si>
  <si>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</si>
  <si>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</si>
  <si>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</si>
  <si>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</si>
  <si>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</si>
  <si>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</si>
  <si>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</si>
  <si>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</si>
  <si>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</si>
  <si>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</si>
  <si>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</si>
  <si>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</si>
  <si>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</si>
  <si>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</si>
  <si>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</si>
  <si>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</si>
  <si>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</si>
  <si>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</si>
  <si>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</si>
  <si>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</si>
  <si>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</si>
  <si>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</si>
  <si>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</si>
  <si>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</si>
  <si>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</si>
  <si>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</si>
  <si>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</si>
  <si>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</si>
  <si>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</si>
  <si>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</si>
  <si>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</si>
  <si>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</si>
  <si>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</si>
  <si>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</si>
  <si>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</si>
  <si>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</si>
  <si>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</si>
  <si>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</si>
  <si>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</si>
  <si>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</si>
  <si>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</si>
  <si>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</si>
  <si>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</si>
  <si>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</si>
  <si>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</si>
  <si>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</si>
  <si>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</si>
  <si>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</si>
  <si>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</si>
  <si>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</si>
  <si>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</si>
  <si>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</si>
  <si>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</si>
  <si>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</si>
  <si>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</si>
  <si>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</si>
  <si>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</si>
  <si>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</si>
  <si>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</si>
  <si>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</si>
  <si>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</si>
  <si>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</si>
  <si>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</si>
  <si>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</si>
  <si>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</si>
  <si>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</si>
  <si>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</si>
  <si>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</si>
  <si>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</si>
  <si>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</si>
  <si>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</si>
  <si>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</si>
  <si>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</si>
  <si>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</si>
  <si>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</si>
  <si>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</si>
  <si>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</si>
  <si>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</si>
  <si>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</si>
  <si>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</si>
  <si>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</si>
  <si>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</si>
  <si>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</si>
  <si>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</si>
  <si>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</si>
  <si>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</si>
  <si>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</si>
  <si>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</si>
  <si>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</si>
  <si>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</si>
  <si>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</si>
  <si>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</si>
  <si>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</si>
  <si>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</si>
  <si>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</si>
  <si>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</si>
  <si>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</si>
  <si>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</si>
  <si>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</si>
  <si>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</si>
  <si>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</si>
  <si>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</si>
  <si>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</si>
  <si>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</si>
  <si>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</si>
  <si>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</si>
  <si>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</si>
  <si>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</si>
  <si>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</si>
  <si>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</si>
  <si>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</si>
  <si>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</si>
  <si>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</si>
  <si>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</si>
  <si>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</si>
  <si>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</si>
  <si>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</si>
  <si>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</si>
  <si>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</si>
  <si>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</si>
  <si>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</si>
  <si>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</si>
  <si>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</si>
  <si>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</si>
  <si>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</si>
  <si>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</si>
  <si>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</si>
  <si>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</si>
  <si>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</si>
  <si>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</si>
  <si>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</si>
  <si>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</si>
  <si>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</si>
  <si>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</si>
  <si>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</si>
  <si>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</si>
  <si>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</si>
  <si>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</si>
  <si>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</si>
  <si>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</si>
  <si>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</si>
  <si>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</si>
  <si>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</si>
  <si>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</si>
  <si>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</si>
  <si>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</si>
  <si>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</si>
  <si>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</si>
  <si>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</si>
  <si>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</si>
  <si>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</si>
  <si>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</si>
  <si>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</si>
  <si>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</si>
  <si>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</si>
  <si>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</si>
  <si>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</si>
  <si>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</si>
  <si>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</si>
  <si>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</si>
  <si>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</si>
  <si>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</si>
  <si>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</si>
  <si>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</si>
  <si>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</si>
  <si>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</si>
  <si>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</si>
  <si>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</si>
  <si>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</si>
  <si>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</si>
  <si>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</si>
  <si>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</si>
  <si>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</si>
  <si>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</si>
  <si>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</si>
  <si>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</si>
  <si>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</si>
  <si>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</si>
  <si>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</si>
  <si>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</si>
  <si>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</si>
  <si>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</si>
  <si>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</si>
  <si>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</si>
  <si>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</si>
  <si>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</si>
  <si>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</si>
  <si>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</si>
  <si>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</si>
  <si>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</si>
  <si>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</si>
  <si>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</si>
  <si>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</si>
  <si>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</si>
  <si>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</si>
  <si>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</si>
  <si>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</si>
  <si>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</si>
  <si>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</si>
  <si>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</si>
  <si>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</si>
  <si>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</si>
  <si>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</si>
  <si>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</si>
  <si>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</si>
  <si>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</si>
  <si>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</si>
  <si>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</si>
  <si>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</si>
  <si>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</si>
  <si>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</si>
  <si>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</si>
  <si>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</si>
  <si>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</si>
  <si>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</si>
  <si>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</si>
  <si>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</si>
  <si>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</si>
  <si>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</si>
  <si>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</si>
  <si>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</si>
  <si>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</si>
  <si>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</si>
  <si>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</si>
  <si>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</si>
  <si>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</si>
  <si>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</si>
  <si>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</si>
  <si>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</si>
  <si>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</si>
  <si>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</si>
  <si>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</si>
  <si>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</si>
  <si>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</si>
  <si>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</si>
  <si>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</si>
  <si>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</si>
  <si>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</si>
  <si>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</si>
  <si>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</si>
  <si>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</si>
  <si>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</si>
  <si>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</si>
  <si>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</si>
  <si>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</si>
  <si>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</si>
  <si>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</si>
  <si>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</si>
  <si>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</si>
  <si>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</si>
  <si>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</si>
  <si>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</si>
  <si>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</si>
  <si>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</si>
  <si>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</si>
  <si>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</si>
  <si>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</si>
  <si>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</si>
  <si>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</si>
  <si>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</si>
  <si>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</si>
  <si>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</si>
  <si>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</si>
  <si>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</si>
  <si>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</si>
  <si>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</si>
  <si>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</si>
  <si>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</si>
  <si>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</si>
  <si>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</si>
  <si>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</si>
  <si>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</si>
  <si>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</si>
  <si>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</si>
  <si>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</si>
  <si>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</si>
  <si>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</si>
  <si>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</si>
  <si>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</si>
  <si>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</si>
  <si>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</si>
  <si>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</si>
  <si>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</si>
  <si>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</si>
  <si>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</si>
  <si>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</si>
  <si>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</si>
  <si>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</si>
  <si>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</si>
  <si>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</si>
  <si>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</si>
  <si>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</si>
  <si>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</si>
  <si>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</si>
  <si>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</si>
  <si>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</si>
  <si>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</si>
  <si>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</si>
  <si>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</si>
  <si>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</si>
  <si>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</si>
  <si>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</si>
  <si>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</si>
  <si>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</si>
  <si>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</si>
  <si>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</si>
  <si>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</si>
  <si>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</si>
  <si>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</si>
  <si>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</si>
  <si>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</si>
  <si>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</si>
  <si>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</si>
  <si>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</si>
  <si>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</si>
  <si>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</si>
  <si>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</si>
  <si>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</si>
  <si>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</si>
  <si>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</si>
  <si>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</si>
  <si>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</si>
  <si>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</si>
  <si>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</si>
  <si>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</si>
  <si>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</si>
  <si>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</si>
  <si>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</si>
  <si>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</si>
  <si>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</si>
  <si>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</si>
  <si>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</si>
  <si>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</si>
  <si>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</si>
  <si>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</si>
  <si>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</si>
  <si>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</si>
  <si>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</si>
  <si>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</si>
  <si>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</si>
  <si>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</si>
  <si>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</si>
  <si>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</si>
  <si>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</si>
  <si>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</si>
  <si>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</si>
  <si>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</si>
  <si>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</si>
  <si>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</si>
  <si>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</si>
  <si>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</si>
  <si>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</si>
  <si>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</si>
  <si>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</si>
  <si>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</si>
  <si>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</si>
  <si>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</si>
  <si>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</si>
  <si>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</si>
  <si>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</si>
  <si>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</si>
  <si>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</si>
  <si>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</si>
  <si>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</si>
  <si>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</si>
  <si>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</si>
  <si>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</si>
  <si>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</si>
  <si>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</si>
  <si>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</si>
  <si>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</si>
  <si>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</si>
  <si>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</si>
  <si>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</si>
  <si>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</si>
  <si>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</si>
  <si>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</si>
  <si>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</si>
  <si>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</si>
  <si>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</si>
  <si>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</si>
  <si>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</si>
  <si>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</si>
  <si>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</si>
  <si>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</si>
  <si>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</si>
  <si>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</si>
  <si>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</si>
  <si>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</si>
  <si>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</si>
  <si>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</si>
  <si>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</si>
  <si>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</si>
  <si>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</si>
  <si>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</si>
  <si>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</si>
  <si>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</si>
  <si>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</si>
  <si>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</si>
  <si>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</si>
  <si>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</si>
  <si>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</si>
  <si>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</si>
  <si>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</si>
  <si>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</si>
  <si>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</si>
  <si>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</si>
  <si>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</si>
  <si>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</si>
  <si>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</si>
  <si>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</si>
  <si>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</si>
  <si>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</si>
  <si>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</si>
  <si>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</si>
  <si>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</si>
  <si>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</si>
  <si>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</si>
  <si>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</si>
  <si>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</si>
  <si>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</si>
  <si>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</si>
  <si>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</si>
  <si>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</si>
  <si>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</si>
  <si>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</si>
  <si>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</si>
  <si>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</si>
  <si>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</si>
  <si>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</si>
  <si>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</si>
  <si>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</si>
  <si>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</si>
  <si>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</si>
  <si>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</si>
  <si>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</si>
  <si>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</si>
  <si>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</si>
  <si>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</si>
  <si>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</si>
  <si>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</si>
  <si>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</si>
  <si>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</si>
  <si>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</si>
  <si>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</si>
  <si>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</si>
  <si>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</si>
  <si>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</si>
  <si>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</si>
  <si>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</si>
  <si>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</si>
  <si>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</si>
  <si>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</si>
  <si>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</si>
  <si>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</si>
  <si>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</si>
  <si>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</si>
  <si>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</si>
  <si>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</si>
  <si>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</si>
  <si>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</si>
  <si>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</si>
  <si>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</si>
  <si>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</si>
  <si>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</si>
  <si>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</si>
  <si>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</si>
  <si>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</si>
  <si>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</si>
  <si>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</si>
  <si>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</si>
  <si>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</si>
  <si>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</si>
  <si>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</si>
  <si>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</si>
  <si>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</si>
  <si>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</si>
  <si>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</si>
  <si>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</si>
  <si>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</si>
  <si>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</si>
  <si>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</si>
  <si>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</si>
  <si>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</si>
  <si>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</si>
  <si>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</si>
  <si>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</si>
  <si>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</si>
  <si>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</si>
  <si>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</si>
  <si>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</si>
  <si>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</si>
  <si>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</si>
  <si>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</si>
  <si>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</si>
  <si>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</si>
  <si>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</si>
  <si>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</si>
  <si>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</si>
  <si>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</si>
  <si>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</si>
  <si>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</si>
  <si>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</si>
  <si>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</si>
  <si>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</si>
  <si>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</si>
  <si>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</si>
  <si>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</si>
  <si>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</si>
  <si>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</si>
  <si>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</si>
  <si>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</si>
  <si>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</si>
  <si>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</si>
  <si>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</si>
  <si>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</si>
  <si>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</si>
  <si>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</si>
  <si>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</si>
  <si>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</si>
  <si>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</si>
  <si>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</si>
  <si>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</si>
  <si>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</si>
  <si>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</si>
  <si>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</si>
  <si>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</si>
  <si>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</si>
  <si>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</si>
  <si>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</si>
  <si>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</si>
  <si>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</si>
  <si>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</si>
  <si>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</si>
  <si>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</si>
  <si>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</si>
  <si>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</si>
  <si>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</si>
  <si>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</si>
  <si>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</si>
  <si>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</si>
  <si>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</si>
  <si>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</si>
  <si>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</si>
  <si>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</si>
  <si>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</si>
  <si>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</si>
  <si>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</si>
  <si>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</si>
  <si>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</si>
  <si>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</si>
  <si>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</si>
  <si>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</si>
  <si>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</si>
  <si>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</si>
  <si>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</si>
  <si>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</si>
  <si>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</si>
  <si>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</si>
  <si>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</si>
  <si>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</si>
  <si>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</si>
  <si>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</si>
  <si>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</si>
  <si>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</si>
  <si>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</si>
  <si>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</si>
  <si>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</si>
  <si>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</si>
  <si>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</si>
  <si>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</si>
  <si>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</si>
  <si>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</si>
  <si>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</si>
  <si>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</si>
  <si>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</si>
  <si>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</si>
  <si>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</si>
  <si>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</si>
  <si>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</si>
  <si>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</si>
  <si>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</si>
  <si>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</si>
  <si>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</si>
  <si>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</si>
  <si>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</si>
  <si>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</si>
  <si>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</si>
  <si>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</si>
  <si>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</si>
  <si>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</si>
  <si>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</si>
  <si>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</si>
  <si>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</si>
  <si>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</si>
  <si>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</si>
  <si>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</si>
  <si>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</si>
  <si>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</si>
  <si>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</si>
  <si>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</si>
  <si>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</si>
  <si>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</si>
  <si>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</si>
  <si>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</si>
  <si>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</si>
  <si>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</si>
  <si>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</si>
  <si>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</si>
  <si>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</si>
  <si>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</si>
  <si>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</si>
  <si>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</si>
  <si>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</si>
  <si>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</si>
  <si>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</si>
  <si>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</si>
  <si>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</si>
  <si>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</si>
  <si>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</si>
  <si>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</si>
  <si>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</si>
  <si>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</si>
  <si>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</si>
  <si>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</si>
  <si>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</si>
  <si>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</si>
  <si>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</si>
  <si>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</si>
  <si>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</si>
  <si>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</si>
  <si>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</si>
  <si>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</si>
  <si>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</si>
  <si>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</si>
  <si>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</si>
  <si>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</si>
  <si>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</si>
  <si>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</si>
  <si>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</si>
  <si>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</si>
  <si>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</si>
  <si>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</si>
  <si>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</si>
  <si>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</si>
  <si>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</si>
  <si>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</si>
  <si>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</si>
  <si>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</si>
  <si>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</si>
  <si>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</si>
  <si>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</si>
  <si>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</si>
  <si>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</si>
  <si>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</si>
  <si>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</si>
  <si>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</si>
  <si>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</si>
  <si>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</si>
  <si>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</si>
  <si>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</si>
  <si>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</si>
  <si>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</si>
  <si>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</si>
  <si>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</si>
  <si>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</si>
  <si>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</si>
  <si>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</si>
  <si>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</si>
  <si>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</si>
  <si>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</si>
  <si>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</si>
  <si>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</si>
  <si>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</si>
  <si>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</si>
  <si>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</si>
  <si>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</si>
  <si>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</si>
  <si>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</si>
  <si>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</si>
  <si>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</si>
  <si>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</si>
  <si>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</si>
  <si>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</si>
  <si>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</si>
  <si>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</si>
  <si>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</si>
  <si>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</si>
  <si>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</si>
  <si>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</si>
  <si>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</si>
  <si>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</si>
  <si>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</si>
  <si>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</si>
  <si>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</si>
  <si>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</si>
  <si>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</si>
  <si>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</si>
  <si>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</si>
  <si>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</si>
  <si>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</si>
  <si>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</si>
  <si>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</si>
  <si>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</si>
  <si>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</si>
  <si>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</si>
  <si>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</si>
  <si>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</si>
  <si>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</si>
  <si>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</si>
  <si>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</si>
  <si>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</si>
  <si>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</si>
  <si>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</si>
  <si>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</si>
  <si>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</si>
  <si>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</si>
  <si>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</si>
  <si>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</si>
  <si>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</si>
  <si>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</si>
  <si>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</si>
  <si>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</si>
  <si>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</si>
  <si>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</si>
  <si>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</si>
  <si>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</si>
  <si>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</si>
  <si>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</si>
  <si>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</si>
  <si>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</si>
  <si>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</si>
  <si>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</si>
  <si>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</si>
  <si>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</si>
  <si>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</si>
  <si>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</si>
  <si>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</si>
  <si>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</si>
  <si>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</si>
  <si>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</si>
  <si>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</si>
  <si>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</si>
  <si>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</si>
  <si>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</si>
  <si>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</si>
  <si>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</si>
  <si>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</si>
  <si>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</si>
  <si>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</si>
  <si>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</si>
  <si>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</si>
  <si>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</si>
  <si>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</si>
  <si>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</si>
  <si>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</si>
  <si>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</si>
  <si>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</si>
  <si>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</si>
  <si>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</si>
  <si>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</si>
  <si>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</si>
  <si>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</si>
  <si>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</si>
  <si>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</si>
  <si>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</si>
  <si>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</si>
  <si>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</si>
  <si>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</si>
  <si>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</si>
  <si>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</si>
  <si>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</si>
  <si>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</si>
  <si>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</si>
  <si>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</si>
  <si>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</si>
  <si>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</si>
  <si>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</si>
  <si>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</si>
  <si>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</si>
  <si>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</si>
  <si>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</si>
  <si>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</si>
  <si>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</si>
  <si>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</si>
  <si>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</si>
  <si>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</si>
  <si>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</si>
  <si>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</si>
  <si>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</si>
  <si>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</si>
  <si>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</si>
  <si>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</si>
  <si>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</si>
  <si>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</si>
  <si>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</si>
  <si>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</si>
  <si>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</si>
  <si>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</si>
  <si>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</si>
  <si>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</si>
  <si>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</si>
  <si>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</si>
  <si>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</si>
  <si>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</si>
  <si>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</si>
  <si>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</si>
  <si>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</si>
  <si>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</si>
  <si>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</si>
  <si>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</si>
  <si>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</si>
  <si>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</si>
  <si>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</si>
  <si>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</si>
  <si>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</si>
  <si>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</si>
  <si>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</si>
  <si>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</si>
  <si>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</si>
  <si>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</si>
  <si>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</si>
  <si>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</si>
  <si>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</si>
  <si>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</si>
  <si>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</si>
  <si>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</si>
  <si>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</si>
  <si>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</si>
  <si>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</si>
  <si>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</si>
  <si>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</si>
  <si>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</si>
  <si>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</si>
  <si>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</si>
  <si>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</si>
  <si>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</si>
  <si>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</si>
  <si>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</si>
  <si>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</si>
  <si>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</si>
  <si>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</si>
  <si>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</si>
  <si>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</si>
  <si>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</si>
  <si>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</si>
  <si>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</si>
  <si>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</si>
  <si>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</si>
  <si>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</si>
  <si>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</si>
  <si>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</si>
  <si>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</si>
  <si>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</si>
  <si>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</si>
  <si>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</si>
  <si>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</si>
  <si>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</si>
  <si>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</si>
  <si>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</si>
  <si>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</si>
  <si>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</si>
  <si>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</si>
  <si>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</si>
  <si>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</si>
  <si>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</si>
  <si>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</si>
  <si>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</si>
  <si>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</si>
  <si>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</si>
  <si>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</si>
  <si>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</si>
  <si>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</si>
  <si>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</si>
  <si>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</si>
  <si>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</si>
  <si>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</si>
  <si>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</si>
  <si>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</si>
  <si>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</si>
  <si>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</si>
  <si>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</si>
  <si>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</si>
  <si>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</si>
  <si>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</si>
  <si>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</si>
  <si>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</si>
  <si>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</si>
  <si>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</si>
  <si>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</si>
  <si>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</si>
  <si>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</si>
  <si>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</si>
  <si>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</si>
  <si>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</si>
  <si>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</si>
  <si>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</si>
  <si>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</si>
  <si>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</si>
  <si>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</si>
  <si>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</si>
  <si>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</si>
  <si>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</si>
  <si>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</si>
  <si>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</si>
  <si>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</si>
  <si>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</si>
  <si>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</si>
  <si>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</si>
  <si>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</si>
  <si>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</si>
  <si>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</si>
  <si>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</si>
  <si>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</si>
  <si>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</si>
  <si>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</si>
  <si>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</si>
  <si>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</si>
  <si>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</si>
  <si>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</si>
  <si>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</si>
  <si>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</si>
  <si>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</si>
  <si>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</si>
  <si>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</si>
  <si>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</si>
  <si>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</si>
  <si>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</si>
  <si>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</si>
  <si>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</si>
  <si>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</si>
  <si>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</si>
  <si>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</si>
  <si>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</si>
  <si>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</si>
  <si>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</si>
  <si>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</si>
  <si>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</si>
  <si>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</si>
  <si>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</si>
  <si>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</si>
  <si>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</si>
  <si>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</si>
  <si>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</si>
  <si>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</si>
  <si>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</si>
  <si>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</si>
  <si>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</si>
  <si>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</si>
  <si>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</si>
  <si>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</si>
  <si>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</si>
  <si>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</si>
  <si>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</si>
  <si>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</si>
  <si>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</si>
  <si>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</si>
  <si>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</si>
  <si>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</si>
  <si>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</si>
  <si>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</si>
  <si>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</si>
  <si>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</si>
  <si>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</si>
  <si>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</si>
  <si>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</si>
  <si>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</si>
  <si>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</si>
  <si>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</si>
  <si>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</si>
  <si>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</si>
  <si>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</si>
  <si>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</si>
  <si>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</si>
  <si>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</si>
  <si>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</si>
  <si>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</si>
  <si>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</si>
  <si>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</si>
  <si>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</si>
  <si>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</si>
  <si>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</si>
  <si>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</si>
  <si>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</si>
  <si>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</si>
  <si>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</si>
  <si>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</si>
  <si>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</si>
  <si>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</si>
  <si>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</si>
  <si>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</si>
  <si>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</si>
  <si>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</si>
  <si>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</si>
  <si>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</si>
  <si>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</si>
  <si>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</si>
  <si>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</si>
  <si>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</si>
  <si>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</si>
  <si>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</si>
  <si>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</si>
  <si>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</si>
  <si>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</si>
  <si>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</si>
  <si>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</si>
  <si>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</si>
  <si>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</si>
  <si>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</si>
  <si>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</si>
  <si>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</si>
  <si>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</si>
  <si>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</si>
  <si>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</si>
  <si>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</si>
  <si>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</si>
  <si>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</si>
  <si>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</si>
  <si>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</si>
  <si>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</si>
  <si>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</si>
  <si>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</si>
  <si>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</si>
  <si>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</si>
  <si>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</si>
  <si>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</si>
  <si>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</si>
  <si>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</si>
  <si>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</si>
  <si>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</si>
  <si>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</si>
  <si>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</si>
  <si>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</si>
  <si>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</si>
  <si>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</si>
  <si>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</si>
  <si>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</si>
  <si>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</si>
  <si>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</si>
  <si>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</si>
  <si>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</si>
  <si>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</si>
  <si>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</si>
  <si>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</si>
  <si>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</si>
  <si>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</si>
  <si>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</si>
  <si>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</si>
  <si>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</si>
  <si>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</si>
  <si>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</si>
  <si>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</si>
  <si>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</si>
  <si>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</si>
  <si>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</si>
  <si>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</si>
  <si>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</si>
  <si>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</si>
  <si>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</si>
  <si>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</si>
  <si>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</si>
  <si>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</si>
  <si>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</si>
  <si>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</si>
  <si>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</si>
  <si>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</si>
  <si>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</si>
  <si>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</si>
  <si>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</si>
  <si>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</si>
  <si>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</si>
  <si>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</si>
  <si>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</si>
  <si>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</si>
  <si>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</si>
  <si>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</si>
  <si>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</si>
  <si>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</si>
  <si>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</si>
  <si>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</si>
  <si>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</si>
  <si>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</si>
  <si>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</si>
  <si>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</si>
  <si>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</si>
  <si>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</si>
  <si>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</si>
  <si>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</si>
  <si>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</si>
  <si>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</si>
  <si>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</si>
  <si>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</si>
  <si>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</si>
  <si>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</si>
  <si>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</si>
  <si>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</si>
  <si>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</si>
  <si>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</si>
  <si>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</si>
  <si>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</si>
  <si>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</si>
  <si>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</si>
  <si>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</si>
  <si>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</si>
  <si>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</si>
  <si>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</si>
  <si>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</si>
  <si>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</si>
  <si>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</si>
  <si>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</si>
  <si>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</si>
  <si>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</si>
  <si>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</si>
  <si>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</si>
  <si>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</si>
  <si>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</si>
  <si>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</si>
  <si>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</si>
  <si>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</si>
  <si>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</si>
  <si>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</si>
  <si>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</si>
  <si>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</si>
  <si>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</si>
  <si>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</si>
  <si>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</si>
  <si>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</si>
  <si>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</si>
  <si>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</si>
  <si>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</si>
  <si>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</si>
  <si>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</si>
  <si>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</si>
  <si>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</si>
  <si>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</si>
  <si>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</si>
  <si>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</si>
  <si>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</si>
  <si>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</si>
  <si>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</si>
  <si>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</si>
  <si>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</si>
  <si>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</si>
  <si>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</si>
  <si>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</si>
  <si>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</si>
  <si>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</si>
  <si>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</si>
  <si>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</si>
  <si>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</si>
  <si>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</si>
  <si>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</si>
  <si>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</si>
  <si>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</si>
  <si>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</si>
  <si>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</si>
  <si>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</si>
  <si>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</si>
  <si>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</si>
  <si>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</si>
  <si>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</si>
  <si>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</si>
  <si>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</si>
  <si>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</si>
  <si>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</si>
  <si>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</si>
  <si>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</si>
  <si>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</si>
  <si>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</si>
  <si>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</si>
  <si>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</si>
  <si>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</si>
  <si>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</si>
  <si>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</si>
  <si>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</si>
  <si>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</si>
  <si>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</si>
  <si>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</si>
  <si>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</si>
  <si>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</si>
  <si>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</si>
  <si>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</si>
  <si>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</si>
  <si>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</si>
  <si>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</si>
  <si>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</si>
  <si>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</si>
  <si>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</si>
  <si>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</si>
  <si>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</si>
  <si>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</si>
  <si>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</si>
  <si>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</si>
  <si>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</si>
  <si>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</si>
  <si>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</si>
  <si>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</si>
  <si>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</si>
  <si>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</si>
  <si>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</si>
  <si>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</si>
  <si>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</si>
  <si>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</si>
  <si>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</si>
  <si>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</si>
  <si>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</si>
  <si>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</si>
  <si>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</si>
  <si>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</si>
  <si>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</si>
  <si>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</si>
  <si>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</si>
  <si>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</si>
  <si>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</si>
  <si>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</si>
  <si>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</si>
  <si>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</si>
  <si>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</si>
  <si>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</si>
  <si>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</si>
  <si>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</si>
  <si>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</si>
  <si>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</si>
  <si>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</si>
  <si>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</si>
  <si>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</si>
  <si>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</si>
  <si>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</si>
  <si>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</si>
  <si>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</si>
  <si>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</si>
  <si>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</si>
  <si>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</si>
  <si>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</si>
  <si>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</si>
  <si>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</si>
  <si>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</si>
  <si>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</si>
  <si>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</si>
  <si>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</si>
  <si>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</si>
  <si>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</si>
  <si>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</si>
  <si>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</si>
  <si>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</si>
  <si>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</si>
  <si>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</si>
  <si>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</si>
  <si>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</si>
  <si>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</si>
  <si>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</si>
  <si>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</si>
  <si>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</si>
  <si>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</si>
  <si>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</si>
  <si>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</si>
  <si>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</si>
  <si>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</si>
  <si>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</si>
  <si>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</si>
  <si>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</si>
  <si>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</si>
  <si>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</si>
  <si>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</si>
  <si>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</si>
  <si>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</si>
  <si>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</si>
  <si>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</si>
  <si>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</si>
  <si>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</si>
  <si>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</si>
  <si>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</si>
  <si>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</si>
  <si>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</si>
  <si>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</si>
  <si>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</si>
  <si>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</si>
  <si>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</si>
  <si>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</si>
  <si>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</si>
  <si>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</si>
  <si>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</si>
  <si>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</si>
  <si>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</si>
  <si>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</si>
  <si>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</si>
  <si>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</si>
  <si>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</si>
  <si>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</si>
  <si>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</si>
  <si>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</si>
  <si>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</si>
  <si>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</si>
  <si>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</si>
  <si>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</si>
  <si>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</si>
  <si>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</si>
  <si>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</si>
  <si>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</si>
  <si>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</si>
  <si>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</si>
  <si>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</si>
  <si>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</si>
  <si>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</si>
  <si>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</si>
  <si>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</si>
  <si>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</si>
  <si>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</si>
  <si>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</si>
  <si>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</si>
  <si>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</si>
  <si>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</si>
  <si>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</si>
  <si>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</si>
  <si>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</si>
  <si>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</si>
  <si>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</si>
  <si>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</si>
  <si>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</si>
  <si>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</si>
  <si>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</si>
  <si>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</si>
  <si>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</si>
  <si>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</si>
  <si>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</si>
  <si>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</si>
  <si>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</si>
  <si>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</si>
  <si>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</si>
  <si>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</si>
  <si>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</si>
  <si>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</si>
  <si>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</si>
  <si>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</si>
  <si>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</si>
  <si>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</si>
  <si>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</si>
  <si>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</si>
  <si>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</si>
  <si>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</si>
  <si>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</si>
  <si>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</si>
  <si>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</si>
  <si>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</si>
  <si>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</si>
  <si>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</si>
  <si>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</si>
  <si>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</si>
  <si>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</si>
  <si>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</si>
  <si>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</si>
  <si>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</si>
  <si>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</si>
  <si>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</si>
  <si>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</si>
  <si>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</si>
  <si>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</si>
  <si>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</si>
  <si>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</si>
  <si>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</si>
  <si>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</si>
  <si>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</si>
  <si>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</si>
  <si>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</si>
  <si>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</si>
  <si>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</si>
  <si>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</si>
  <si>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</si>
  <si>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</si>
  <si>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</si>
  <si>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</si>
  <si>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</si>
  <si>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</si>
  <si>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</si>
  <si>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</si>
  <si>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</si>
  <si>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</si>
  <si>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</si>
  <si>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</si>
  <si>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</si>
  <si>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</si>
  <si>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</si>
  <si>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</si>
  <si>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</si>
  <si>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</si>
  <si>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</si>
  <si>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</si>
  <si>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</si>
  <si>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</si>
  <si>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</si>
  <si>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</si>
  <si>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</si>
  <si>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</si>
  <si>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</si>
  <si>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</si>
  <si>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</si>
  <si>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</si>
  <si>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</si>
  <si>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</si>
  <si>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</si>
  <si>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</si>
  <si>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</si>
  <si>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</si>
  <si>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</si>
  <si>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</si>
  <si>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</si>
  <si>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</si>
  <si>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</si>
  <si>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</si>
  <si>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</si>
  <si>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</si>
  <si>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</si>
  <si>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</si>
  <si>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</si>
  <si>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</si>
  <si>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</si>
  <si>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</si>
  <si>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</si>
  <si>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</si>
  <si>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</si>
  <si>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</si>
  <si>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</si>
  <si>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</si>
  <si>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</si>
  <si>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</si>
  <si>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</si>
  <si>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</si>
  <si>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</si>
  <si>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</si>
  <si>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</si>
  <si>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</si>
  <si>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</si>
  <si>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</si>
  <si>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</si>
  <si>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</si>
  <si>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</si>
  <si>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</si>
  <si>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</si>
  <si>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</si>
  <si>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</si>
  <si>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</si>
  <si>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</si>
  <si>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</si>
  <si>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</si>
  <si>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</si>
  <si>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</si>
  <si>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</si>
  <si>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</si>
  <si>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</si>
  <si>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</si>
  <si>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</si>
  <si>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</si>
  <si>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</si>
  <si>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</si>
  <si>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</si>
  <si>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</si>
  <si>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</si>
  <si>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</si>
  <si>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</si>
  <si>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</si>
  <si>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</si>
  <si>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</si>
  <si>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</si>
  <si>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</si>
  <si>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</si>
  <si>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</si>
  <si>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</si>
  <si>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</si>
  <si>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</si>
  <si>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</si>
  <si>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</si>
  <si>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</si>
  <si>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</si>
  <si>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</si>
  <si>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</si>
  <si>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</si>
  <si>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</si>
  <si>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</si>
  <si>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</si>
  <si>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</si>
  <si>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</si>
  <si>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</si>
  <si>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</si>
  <si>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</si>
  <si>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</si>
  <si>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</si>
  <si>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</si>
  <si>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</si>
  <si>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</si>
  <si>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</si>
  <si>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</si>
  <si>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</si>
  <si>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</si>
  <si>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</si>
  <si>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</si>
  <si>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</si>
  <si>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</si>
  <si>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</si>
  <si>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</si>
  <si>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</si>
  <si>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</si>
  <si>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</si>
  <si>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</si>
  <si>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</si>
  <si>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</si>
  <si>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</si>
  <si>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</si>
  <si>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</si>
  <si>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</si>
  <si>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</si>
  <si>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</si>
  <si>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</si>
  <si>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</si>
  <si>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</si>
  <si>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</si>
  <si>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</si>
  <si>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</si>
  <si>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</si>
  <si>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</si>
  <si>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</si>
  <si>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</si>
  <si>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</si>
  <si>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</si>
  <si>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</si>
  <si>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</si>
  <si>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</si>
  <si>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</si>
  <si>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</si>
  <si>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</si>
  <si>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</si>
  <si>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</si>
  <si>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</si>
  <si>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</si>
  <si>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</si>
  <si>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</si>
  <si>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</si>
  <si>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</si>
  <si>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</si>
  <si>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</si>
  <si>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</si>
  <si>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</si>
  <si>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</si>
  <si>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</si>
  <si>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</si>
  <si>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</si>
  <si>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</si>
  <si>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</si>
  <si>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</si>
  <si>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</si>
  <si>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</si>
  <si>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</si>
  <si>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</si>
  <si>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</si>
  <si>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</si>
  <si>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</si>
  <si>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</si>
  <si>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</si>
  <si>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</si>
  <si>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</si>
  <si>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</si>
  <si>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</si>
  <si>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</si>
  <si>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</si>
  <si>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</si>
  <si>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</si>
  <si>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</si>
  <si>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</si>
  <si>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</si>
  <si>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</si>
  <si>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</si>
  <si>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</si>
  <si>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</si>
  <si>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</si>
  <si>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</si>
  <si>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</si>
  <si>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</si>
  <si>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</si>
  <si>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</si>
  <si>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</si>
  <si>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</si>
  <si>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</si>
  <si>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</si>
  <si>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</si>
  <si>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</si>
  <si>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</si>
  <si>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</si>
  <si>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</si>
  <si>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</si>
  <si>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</si>
  <si>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</si>
  <si>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</si>
  <si>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</si>
  <si>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</si>
  <si>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</si>
  <si>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</si>
  <si>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</si>
  <si>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</si>
  <si>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</si>
  <si>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</si>
  <si>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</si>
  <si>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</si>
  <si>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</si>
  <si>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</si>
  <si>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</si>
  <si>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</si>
  <si>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</si>
  <si>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</si>
  <si>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</si>
  <si>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</si>
  <si>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</si>
  <si>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</si>
  <si>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</si>
  <si>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</si>
  <si>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</si>
  <si>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</si>
  <si>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</si>
  <si>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</si>
  <si>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</si>
  <si>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</si>
  <si>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</si>
  <si>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</si>
  <si>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</si>
  <si>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</si>
  <si>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</si>
  <si>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</si>
  <si>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</si>
  <si>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</si>
  <si>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</si>
  <si>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</si>
  <si>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</si>
  <si>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</si>
  <si>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</si>
  <si>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</si>
  <si>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</si>
  <si>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</si>
  <si>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</si>
  <si>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</si>
  <si>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</si>
  <si>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</si>
  <si>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</si>
  <si>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</si>
  <si>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</si>
  <si>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</si>
  <si>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</si>
  <si>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</si>
  <si>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</si>
  <si>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</si>
  <si>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</si>
  <si>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</si>
  <si>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</si>
  <si>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</si>
  <si>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</si>
  <si>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</si>
  <si>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</si>
  <si>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</si>
  <si>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</si>
  <si>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</si>
  <si>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</si>
  <si>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</si>
  <si>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</si>
  <si>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</si>
  <si>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</si>
  <si>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</si>
  <si>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</si>
  <si>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</si>
  <si>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</si>
  <si>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</si>
  <si>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</si>
  <si>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</si>
  <si>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</si>
  <si>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</si>
  <si>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</si>
  <si>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</si>
  <si>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</si>
  <si>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</si>
  <si>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</si>
  <si>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</si>
  <si>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</si>
  <si>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</si>
  <si>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</si>
  <si>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</si>
  <si>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</si>
  <si>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</si>
  <si>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</si>
  <si>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</si>
  <si>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</si>
  <si>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</si>
  <si>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</si>
  <si>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</si>
  <si>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</si>
  <si>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</si>
  <si>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</si>
  <si>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</si>
  <si>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</si>
  <si>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</si>
  <si>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</si>
  <si>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</si>
  <si>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</si>
  <si>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</si>
  <si>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</si>
  <si>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</si>
  <si>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</si>
  <si>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</si>
  <si>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</si>
  <si>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</si>
  <si>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</si>
  <si>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</si>
  <si>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</si>
  <si>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</si>
  <si>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</si>
  <si>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</si>
  <si>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</si>
  <si>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</si>
  <si>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</si>
  <si>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</si>
  <si>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</si>
  <si>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</si>
  <si>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</si>
  <si>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</si>
  <si>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</si>
  <si>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</si>
  <si>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</si>
  <si>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</si>
  <si>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</si>
  <si>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</si>
  <si>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</si>
  <si>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</si>
  <si>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</si>
  <si>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</si>
  <si>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</si>
  <si>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</si>
  <si>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</si>
  <si>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</si>
  <si>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</si>
  <si>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</si>
  <si>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</si>
  <si>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</si>
  <si>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</si>
  <si>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</si>
  <si>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</si>
  <si>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</si>
  <si>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</si>
  <si>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</si>
  <si>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</si>
  <si>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</si>
  <si>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</si>
  <si>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</si>
  <si>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</si>
  <si>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</si>
  <si>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</si>
  <si>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</si>
  <si>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</si>
  <si>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</si>
  <si>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</si>
  <si>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</si>
  <si>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</si>
  <si>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</si>
  <si>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</si>
  <si>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</si>
  <si>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</si>
  <si>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</si>
  <si>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</si>
  <si>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</si>
  <si>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</si>
  <si>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</si>
  <si>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</si>
  <si>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</si>
  <si>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</si>
  <si>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</si>
  <si>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</si>
  <si>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</si>
  <si>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</si>
  <si>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</si>
  <si>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</si>
  <si>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</si>
  <si>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</si>
  <si>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</si>
  <si>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</si>
  <si>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</si>
  <si>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</si>
  <si>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</si>
  <si>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</si>
  <si>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</si>
  <si>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</si>
  <si>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</si>
  <si>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</si>
  <si>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</si>
  <si>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</si>
  <si>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</si>
  <si>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</si>
  <si>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</si>
  <si>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</si>
  <si>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</si>
  <si>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</si>
  <si>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</si>
  <si>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</si>
  <si>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</si>
  <si>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</si>
  <si>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</si>
  <si>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</si>
  <si>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</si>
  <si>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</si>
  <si>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</si>
  <si>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</si>
  <si>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</si>
  <si>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</si>
  <si>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</si>
  <si>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</si>
  <si>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</si>
  <si>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</si>
  <si>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</si>
  <si>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</si>
  <si>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</si>
  <si>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</si>
  <si>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</si>
  <si>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</si>
  <si>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</si>
  <si>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</si>
  <si>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</si>
  <si>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</si>
  <si>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</si>
  <si>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</si>
  <si>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</si>
  <si>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</si>
  <si>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</si>
  <si>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</si>
  <si>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</si>
  <si>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</si>
  <si>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</si>
  <si>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</si>
  <si>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</si>
  <si>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</si>
  <si>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</si>
  <si>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</si>
  <si>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</si>
  <si>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</si>
  <si>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</si>
  <si>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</si>
  <si>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</si>
  <si>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</si>
  <si>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</si>
  <si>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</si>
  <si>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</si>
  <si>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</si>
  <si>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</si>
  <si>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</si>
  <si>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</si>
  <si>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</si>
  <si>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</si>
  <si>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</si>
  <si>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</si>
  <si>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</si>
  <si>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</si>
  <si>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</si>
  <si>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</si>
  <si>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</si>
  <si>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</si>
  <si>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</si>
  <si>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</si>
  <si>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</si>
  <si>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</si>
  <si>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</si>
  <si>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</si>
  <si>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</si>
  <si>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</si>
  <si>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</si>
  <si>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</si>
  <si>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</si>
  <si>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</si>
  <si>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</si>
  <si>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</si>
  <si>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</si>
  <si>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</si>
  <si>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</si>
  <si>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</si>
  <si>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</si>
  <si>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</si>
  <si>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</si>
  <si>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</si>
  <si>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</si>
  <si>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</si>
  <si>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</si>
  <si>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</si>
  <si>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</si>
  <si>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</si>
  <si>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</si>
  <si>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</si>
  <si>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</si>
  <si>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</si>
  <si>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</si>
  <si>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</si>
  <si>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</si>
  <si>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</si>
  <si>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</si>
  <si>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</si>
  <si>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</si>
  <si>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</si>
  <si>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</si>
  <si>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</si>
  <si>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</si>
  <si>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</si>
  <si>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</si>
  <si>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</si>
  <si>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</si>
  <si>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</si>
  <si>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</si>
  <si>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</si>
  <si>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</si>
  <si>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</si>
  <si>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</si>
  <si>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</si>
  <si>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</si>
  <si>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</si>
  <si>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</si>
  <si>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</si>
  <si>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</si>
  <si>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</si>
  <si>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</si>
  <si>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</si>
  <si>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</si>
  <si>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</si>
  <si>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</si>
  <si>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</si>
  <si>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</si>
  <si>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</si>
  <si>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</si>
  <si>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</si>
  <si>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</si>
  <si>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</si>
  <si>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</si>
  <si>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</si>
  <si>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</si>
  <si>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</si>
  <si>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</si>
  <si>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</si>
  <si>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</si>
  <si>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</si>
  <si>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</si>
  <si>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</si>
  <si>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</si>
  <si>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</si>
  <si>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</si>
  <si>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</si>
  <si>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</si>
  <si>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</si>
  <si>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</si>
  <si>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</si>
  <si>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</si>
  <si>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</si>
  <si>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</si>
  <si>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</si>
  <si>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</si>
  <si>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</si>
  <si>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</si>
  <si>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</si>
  <si>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</si>
  <si>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</si>
  <si>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</si>
  <si>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</si>
  <si>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</si>
  <si>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</si>
  <si>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</si>
  <si>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</si>
  <si>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</si>
  <si>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</si>
  <si>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</si>
  <si>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</si>
  <si>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</si>
  <si>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</si>
  <si>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</si>
  <si>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</si>
  <si>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</si>
  <si>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</si>
  <si>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</si>
  <si>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</si>
  <si>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</si>
  <si>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</si>
  <si>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</si>
  <si>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</si>
  <si>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</si>
  <si>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</si>
  <si>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</si>
  <si>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</si>
  <si>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</si>
  <si>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</si>
  <si>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</si>
  <si>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</si>
  <si>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</si>
  <si>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</si>
  <si>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</si>
  <si>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</si>
  <si>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</si>
  <si>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</si>
  <si>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</si>
  <si>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</si>
  <si>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</si>
  <si>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</si>
  <si>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</si>
  <si>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</si>
  <si>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</si>
  <si>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</si>
  <si>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</si>
  <si>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</si>
  <si>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</si>
  <si>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</si>
  <si>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</si>
  <si>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</si>
  <si>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</si>
  <si>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</si>
  <si>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</si>
  <si>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</si>
  <si>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</si>
  <si>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</si>
  <si>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</si>
  <si>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</si>
  <si>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</si>
  <si>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</si>
  <si>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</si>
  <si>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</si>
  <si>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</si>
  <si>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</si>
  <si>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</si>
  <si>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</si>
  <si>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</si>
  <si>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</si>
  <si>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</si>
  <si>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</si>
  <si>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</si>
  <si>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</si>
  <si>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</si>
  <si>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</si>
  <si>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</si>
  <si>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</si>
  <si>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</si>
  <si>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</si>
  <si>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</si>
  <si>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</si>
  <si>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</si>
  <si>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</si>
  <si>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</si>
  <si>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</si>
  <si>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</si>
  <si>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</si>
  <si>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</si>
  <si>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</si>
  <si>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</si>
  <si>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</si>
  <si>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</si>
  <si>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</si>
  <si>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</si>
  <si>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</si>
  <si>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</si>
  <si>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</si>
  <si>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</si>
  <si>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</si>
  <si>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</si>
  <si>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</si>
  <si>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</si>
  <si>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</si>
  <si>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</si>
  <si>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</si>
  <si>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</si>
  <si>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</si>
  <si>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</si>
  <si>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</si>
  <si>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</si>
  <si>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</si>
  <si>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</si>
  <si>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</si>
  <si>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</si>
  <si>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</si>
  <si>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</si>
  <si>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</si>
  <si>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</si>
  <si>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</si>
  <si>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</si>
  <si>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</si>
  <si>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</si>
  <si>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</si>
  <si>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</si>
  <si>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</si>
  <si>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</si>
  <si>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</si>
  <si>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</si>
  <si>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</si>
  <si>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</si>
  <si>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</si>
  <si>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</si>
  <si>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</si>
  <si>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</si>
  <si>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</si>
  <si>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</si>
  <si>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</si>
  <si>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</si>
  <si>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</si>
  <si>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</si>
  <si>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</si>
  <si>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</si>
  <si>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</si>
  <si>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</si>
  <si>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</si>
  <si>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</si>
  <si>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</si>
  <si>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</si>
  <si>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</si>
  <si>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</si>
  <si>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</si>
  <si>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</si>
  <si>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</si>
  <si>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</si>
  <si>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</si>
  <si>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</si>
  <si>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</si>
  <si>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</si>
  <si>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</si>
  <si>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</si>
  <si>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</si>
  <si>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</si>
  <si>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</si>
  <si>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</si>
  <si>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</si>
  <si>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</si>
  <si>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</si>
  <si>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</si>
  <si>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</si>
  <si>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</si>
  <si>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</si>
  <si>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</si>
  <si>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</si>
  <si>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</si>
  <si>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</si>
  <si>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</si>
  <si>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</si>
  <si>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</si>
  <si>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</si>
  <si>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</si>
  <si>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</si>
  <si>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</si>
  <si>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</si>
  <si>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</si>
  <si>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</si>
  <si>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</si>
  <si>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</si>
  <si>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</si>
  <si>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</si>
  <si>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</si>
  <si>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</si>
  <si>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</si>
  <si>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</si>
  <si>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</si>
  <si>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</si>
  <si>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</si>
  <si>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</si>
  <si>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</si>
  <si>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</si>
  <si>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</si>
  <si>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</si>
  <si>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</si>
  <si>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</si>
  <si>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</si>
  <si>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</si>
  <si>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</si>
  <si>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</si>
  <si>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</si>
  <si>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</si>
  <si>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</si>
  <si>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</si>
  <si>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</si>
  <si>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</si>
  <si>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</si>
  <si>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</si>
  <si>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</si>
  <si>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</si>
  <si>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</si>
  <si>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</si>
  <si>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</si>
  <si>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</si>
  <si>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</si>
  <si>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</si>
  <si>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</si>
  <si>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</si>
  <si>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</si>
  <si>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</si>
  <si>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</si>
  <si>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</si>
  <si>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</si>
  <si>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</si>
  <si>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</si>
  <si>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</si>
  <si>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</si>
  <si>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</si>
  <si>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</si>
  <si>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</si>
  <si>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</si>
  <si>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</si>
  <si>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</si>
  <si>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</si>
  <si>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</si>
  <si>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</si>
  <si>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</si>
  <si>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</si>
  <si>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</si>
  <si>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</si>
  <si>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</si>
  <si>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</si>
  <si>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</si>
  <si>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</si>
  <si>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</si>
  <si>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</si>
  <si>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</si>
  <si>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</si>
  <si>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</si>
  <si>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</si>
  <si>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</si>
  <si>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</si>
  <si>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</si>
  <si>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</si>
  <si>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</si>
  <si>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</si>
  <si>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</si>
  <si>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</si>
  <si>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</si>
  <si>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</si>
  <si>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</si>
  <si>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</si>
  <si>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</si>
  <si>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</si>
  <si>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</si>
  <si>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</si>
  <si>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</si>
  <si>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</si>
  <si>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</si>
  <si>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</si>
  <si>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</si>
  <si>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</si>
  <si>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</si>
  <si>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</si>
  <si>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</si>
  <si>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</si>
  <si>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</si>
  <si>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</si>
  <si>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</si>
  <si>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</si>
  <si>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</si>
  <si>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</si>
  <si>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</si>
  <si>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</si>
  <si>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</si>
  <si>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</si>
  <si>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</si>
  <si>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</si>
  <si>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</si>
  <si>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</si>
  <si>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</si>
  <si>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</si>
  <si>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</si>
  <si>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</si>
  <si>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</si>
  <si>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</si>
  <si>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</si>
  <si>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</si>
  <si>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</si>
  <si>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</si>
  <si>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</si>
  <si>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</si>
  <si>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</si>
  <si>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</si>
  <si>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</si>
  <si>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</si>
  <si>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</si>
  <si>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</si>
  <si>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</si>
  <si>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</si>
  <si>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</si>
  <si>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</si>
  <si>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</si>
  <si>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</si>
  <si>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</si>
  <si>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</si>
  <si>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</si>
  <si>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</si>
  <si>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</si>
  <si>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</si>
  <si>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</si>
  <si>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</si>
  <si>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</si>
  <si>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</si>
  <si>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</si>
  <si>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</si>
  <si>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</si>
  <si>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</si>
  <si>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</si>
  <si>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</si>
  <si>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</si>
  <si>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</si>
  <si>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</si>
  <si>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</si>
  <si>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</si>
  <si>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</si>
  <si>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</si>
  <si>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</si>
  <si>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</si>
  <si>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</si>
  <si>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</si>
  <si>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</si>
  <si>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</si>
  <si>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</si>
  <si>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</si>
  <si>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</si>
  <si>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</si>
  <si>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</si>
  <si>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</si>
  <si>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</si>
  <si>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</si>
  <si>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</si>
  <si>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</si>
  <si>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</si>
  <si>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</si>
  <si>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</si>
  <si>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</si>
  <si>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</si>
  <si>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</si>
  <si>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</si>
  <si>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</si>
  <si>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</si>
  <si>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</si>
  <si>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</si>
  <si>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</si>
  <si>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</si>
  <si>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</si>
  <si>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</si>
  <si>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</si>
  <si>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</si>
  <si>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</si>
  <si>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</si>
  <si>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</si>
  <si>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</si>
  <si>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</si>
  <si>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</si>
  <si>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</si>
  <si>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</si>
  <si>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</si>
  <si>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</si>
  <si>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</si>
  <si>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</si>
  <si>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</si>
  <si>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</si>
  <si>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</si>
  <si>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</si>
  <si>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</si>
  <si>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</si>
  <si>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</si>
  <si>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</si>
  <si>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</si>
  <si>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</si>
  <si>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</si>
  <si>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</si>
  <si>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</si>
  <si>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</si>
  <si>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</si>
  <si>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</si>
  <si>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</si>
  <si>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</si>
  <si>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</si>
  <si>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</si>
  <si>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</si>
  <si>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</si>
  <si>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</si>
  <si>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</si>
  <si>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</si>
  <si>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</si>
  <si>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</si>
  <si>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</si>
  <si>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</si>
  <si>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</si>
  <si>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</si>
  <si>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</si>
  <si>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</si>
  <si>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</si>
  <si>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</si>
  <si>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</si>
  <si>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</si>
  <si>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</si>
  <si>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</si>
  <si>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</si>
  <si>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</si>
  <si>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</si>
  <si>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</si>
  <si>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</si>
  <si>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</si>
  <si>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</si>
  <si>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</si>
  <si>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</si>
  <si>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</si>
  <si>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</si>
  <si>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</si>
  <si>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</si>
  <si>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</si>
  <si>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</si>
  <si>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</si>
  <si>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</si>
  <si>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</si>
  <si>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</si>
  <si>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</si>
  <si>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</si>
  <si>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</si>
  <si>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</si>
  <si>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</si>
  <si>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</si>
  <si>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</si>
  <si>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</si>
  <si>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</si>
  <si>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</si>
  <si>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</si>
  <si>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</si>
  <si>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</si>
  <si>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</si>
  <si>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</si>
  <si>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</si>
  <si>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</si>
  <si>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</si>
  <si>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</si>
  <si>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</si>
  <si>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</si>
  <si>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</si>
  <si>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</si>
  <si>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</si>
  <si>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</si>
  <si>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</si>
  <si>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</si>
  <si>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</si>
  <si>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</si>
  <si>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</si>
  <si>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</si>
  <si>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</si>
  <si>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</si>
  <si>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</si>
  <si>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</si>
  <si>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</si>
  <si>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</si>
  <si>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</si>
  <si>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</si>
  <si>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</si>
  <si>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</si>
  <si>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</si>
  <si>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</si>
  <si>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</si>
  <si>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</si>
  <si>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</si>
  <si>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</si>
  <si>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</si>
  <si>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</si>
  <si>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</si>
  <si>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</si>
  <si>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</si>
  <si>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</si>
  <si>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</si>
  <si>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</si>
  <si>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</si>
  <si>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</si>
  <si>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</si>
  <si>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</si>
  <si>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</si>
  <si>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</si>
  <si>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</si>
  <si>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</si>
  <si>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</si>
  <si>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</si>
  <si>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</si>
  <si>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</si>
  <si>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</si>
  <si>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</si>
  <si>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</si>
  <si>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</si>
  <si>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</si>
  <si>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</si>
  <si>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</si>
  <si>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</si>
  <si>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</si>
  <si>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</si>
  <si>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</si>
  <si>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</si>
  <si>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</si>
  <si>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</si>
  <si>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</si>
  <si>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</si>
  <si>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</si>
  <si>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</si>
  <si>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</si>
  <si>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</si>
  <si>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</si>
  <si>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</si>
  <si>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</si>
  <si>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</si>
  <si>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</si>
  <si>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</si>
  <si>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</si>
  <si>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</si>
  <si>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</si>
  <si>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</si>
  <si>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</si>
  <si>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</si>
  <si>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</si>
  <si>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</si>
  <si>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</si>
  <si>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</si>
  <si>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</si>
  <si>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</si>
  <si>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</si>
  <si>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</si>
  <si>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</si>
  <si>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</si>
  <si>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</si>
  <si>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</si>
  <si>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</si>
  <si>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</si>
  <si>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</si>
  <si>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</si>
  <si>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</si>
  <si>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</si>
  <si>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</si>
  <si>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</si>
  <si>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</si>
  <si>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</si>
  <si>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</si>
  <si>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</si>
  <si>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</si>
  <si>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</si>
  <si>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</si>
  <si>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</si>
  <si>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</si>
  <si>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</si>
  <si>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</si>
  <si>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</si>
  <si>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</si>
  <si>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</si>
  <si>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</si>
  <si>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</si>
  <si>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</si>
  <si>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</si>
  <si>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</si>
  <si>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</si>
  <si>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</si>
  <si>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</si>
  <si>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</si>
  <si>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</si>
  <si>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</si>
  <si>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</si>
  <si>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</si>
  <si>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</si>
  <si>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</si>
  <si>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</si>
  <si>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</si>
  <si>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</si>
  <si>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</si>
  <si>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</si>
  <si>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</si>
  <si>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</si>
  <si>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</si>
  <si>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</si>
  <si>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</si>
  <si>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</si>
  <si>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</si>
  <si>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</si>
  <si>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</si>
  <si>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</si>
  <si>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</si>
  <si>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</si>
  <si>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</si>
  <si>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</si>
  <si>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</si>
  <si>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</si>
  <si>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</si>
  <si>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</si>
  <si>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</si>
  <si>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</si>
  <si>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</si>
  <si>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</si>
  <si>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</si>
  <si>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</si>
  <si>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</si>
  <si>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</si>
  <si>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</si>
  <si>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</si>
  <si>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</si>
  <si>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</si>
  <si>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</si>
  <si>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</si>
  <si>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</si>
  <si>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</si>
  <si>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</si>
  <si>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</si>
  <si>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</si>
  <si>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</si>
  <si>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</si>
  <si>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</si>
  <si>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</si>
  <si>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</si>
  <si>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</si>
  <si>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</si>
  <si>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</si>
  <si>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</si>
  <si>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</si>
  <si>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</si>
  <si>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</si>
  <si>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</si>
  <si>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</si>
  <si>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</si>
  <si>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</si>
  <si>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</si>
  <si>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</si>
  <si>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</si>
  <si>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</si>
  <si>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</si>
  <si>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</si>
  <si>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</si>
  <si>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</si>
  <si>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</si>
  <si>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</si>
  <si>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</si>
  <si>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</si>
  <si>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</si>
  <si>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</si>
  <si>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</si>
  <si>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</si>
  <si>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</si>
  <si>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</si>
  <si>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</si>
  <si>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</si>
  <si>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</si>
  <si>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</si>
  <si>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</si>
  <si>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</si>
  <si>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</si>
  <si>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</si>
  <si>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</si>
  <si>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</si>
  <si>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</si>
  <si>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</si>
  <si>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</si>
  <si>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</si>
  <si>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</si>
  <si>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</si>
  <si>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</si>
  <si>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</si>
  <si>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</si>
  <si>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</si>
  <si>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</si>
  <si>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</si>
  <si>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</si>
  <si>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</si>
  <si>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</si>
  <si>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</si>
  <si>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</si>
  <si>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</si>
  <si>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</si>
  <si>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</si>
  <si>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</si>
  <si>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</si>
  <si>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</si>
  <si>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</si>
  <si>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</si>
  <si>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</si>
  <si>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</si>
  <si>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</si>
  <si>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</si>
  <si>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</si>
  <si>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</si>
  <si>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</si>
  <si>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</si>
  <si>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</si>
  <si>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</si>
  <si>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</si>
  <si>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</si>
  <si>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</si>
  <si>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</si>
  <si>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</si>
  <si>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</si>
  <si>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</si>
  <si>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</si>
  <si>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</si>
  <si>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</si>
  <si>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</si>
  <si>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</si>
  <si>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</si>
  <si>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</si>
  <si>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</si>
  <si>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</si>
  <si>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</si>
  <si>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</si>
  <si>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</si>
  <si>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</si>
  <si>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</si>
  <si>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</si>
  <si>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</si>
  <si>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</si>
  <si>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</si>
  <si>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</si>
  <si>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</si>
  <si>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</si>
  <si>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</si>
  <si>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</si>
  <si>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</si>
  <si>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</si>
  <si>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</si>
  <si>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</si>
  <si>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</si>
  <si>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</si>
  <si>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</si>
  <si>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</si>
  <si>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</si>
  <si>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</si>
  <si>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</si>
  <si>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</si>
  <si>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</si>
  <si>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</si>
  <si>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</si>
  <si>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</si>
  <si>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</si>
  <si>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</si>
  <si>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</si>
  <si>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</si>
  <si>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</si>
  <si>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</si>
  <si>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</si>
  <si>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</si>
  <si>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</si>
  <si>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</si>
  <si>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</si>
  <si>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</si>
  <si>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</si>
  <si>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</si>
  <si>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</si>
  <si>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</si>
  <si>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</si>
  <si>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</si>
  <si>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</si>
  <si>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</si>
  <si>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</si>
  <si>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</si>
  <si>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</si>
  <si>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</si>
  <si>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</si>
  <si>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</si>
  <si>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</si>
  <si>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</si>
  <si>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</si>
  <si>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</si>
  <si>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</si>
  <si>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</si>
  <si>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</si>
  <si>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</si>
  <si>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</si>
  <si>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</si>
  <si>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</si>
  <si>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</si>
  <si>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</si>
  <si>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</si>
  <si>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</si>
  <si>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</si>
  <si>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</si>
  <si>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</si>
  <si>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</si>
  <si>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</si>
  <si>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</si>
  <si>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</si>
  <si>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</si>
  <si>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</si>
  <si>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</si>
  <si>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</si>
  <si>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</si>
  <si>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</si>
  <si>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</si>
  <si>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</si>
  <si>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</si>
  <si>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</si>
  <si>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</si>
  <si>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</si>
  <si>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</si>
  <si>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</si>
  <si>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</si>
  <si>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</si>
  <si>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</si>
  <si>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</si>
  <si>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</si>
  <si>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</si>
  <si>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</si>
  <si>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</si>
  <si>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</si>
  <si>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</si>
  <si>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</si>
  <si>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</si>
  <si>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</si>
  <si>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</si>
  <si>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</si>
  <si>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</si>
  <si>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</si>
  <si>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</si>
  <si>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</si>
  <si>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</si>
  <si>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</si>
  <si>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</si>
  <si>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</si>
  <si>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</si>
  <si>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</si>
  <si>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</si>
  <si>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</si>
  <si>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</si>
  <si>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</si>
  <si>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</si>
  <si>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</si>
  <si>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</si>
  <si>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</si>
  <si>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</si>
  <si>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</si>
  <si>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</si>
  <si>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</si>
  <si>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</si>
  <si>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</si>
  <si>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</si>
  <si>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</si>
  <si>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</si>
  <si>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</si>
  <si>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</si>
  <si>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</si>
  <si>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</si>
  <si>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</si>
  <si>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</si>
  <si>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</si>
  <si>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</si>
  <si>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</si>
  <si>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</si>
  <si>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</si>
  <si>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</si>
  <si>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</si>
  <si>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</si>
  <si>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</si>
  <si>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</si>
  <si>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</si>
  <si>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</si>
  <si>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</si>
  <si>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</si>
  <si>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</si>
  <si>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</si>
  <si>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</si>
  <si>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</si>
  <si>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</si>
  <si>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</si>
  <si>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</si>
  <si>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</si>
  <si>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</si>
  <si>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</si>
  <si>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</si>
  <si>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</si>
  <si>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</si>
  <si>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</si>
  <si>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</si>
  <si>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</si>
  <si>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</si>
  <si>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</si>
  <si>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</si>
  <si>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</si>
  <si>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</si>
  <si>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</si>
  <si>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</si>
  <si>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</si>
  <si>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</si>
  <si>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</si>
  <si>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</si>
  <si>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</si>
  <si>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</si>
  <si>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</si>
  <si>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</si>
  <si>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</si>
  <si>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</si>
  <si>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</si>
  <si>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</si>
  <si>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</si>
  <si>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</si>
  <si>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</si>
  <si>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</si>
  <si>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</si>
  <si>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</si>
  <si>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</si>
  <si>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</si>
  <si>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</si>
  <si>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</si>
  <si>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</si>
  <si>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</si>
  <si>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</si>
  <si>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</si>
  <si>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</si>
  <si>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</si>
  <si>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</si>
  <si>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</si>
  <si>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</si>
  <si>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</si>
  <si>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</si>
  <si>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</si>
  <si>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</si>
  <si>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</si>
  <si>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</si>
  <si>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</si>
  <si>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</si>
  <si>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</si>
  <si>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</si>
  <si>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</si>
  <si>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</si>
  <si>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</si>
  <si>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</si>
  <si>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</si>
  <si>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</si>
  <si>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</si>
  <si>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</si>
  <si>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</si>
  <si>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</si>
  <si>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</si>
  <si>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</si>
  <si>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</si>
  <si>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</si>
  <si>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</si>
  <si>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</si>
  <si>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</si>
  <si>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</si>
  <si>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</si>
  <si>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</si>
  <si>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</si>
  <si>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</si>
  <si>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</si>
  <si>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</si>
  <si>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</si>
  <si>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</si>
  <si>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</si>
  <si>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</si>
  <si>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</si>
  <si>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</si>
  <si>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</si>
  <si>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</si>
  <si>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</si>
  <si>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</si>
  <si>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</si>
  <si>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</si>
  <si>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</si>
  <si>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</si>
  <si>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</si>
  <si>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</si>
  <si>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</si>
  <si>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</si>
  <si>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</si>
  <si>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</si>
  <si>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</si>
  <si>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</si>
  <si>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</si>
  <si>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</si>
  <si>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</si>
  <si>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</si>
  <si>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</si>
  <si>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</si>
  <si>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</si>
  <si>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</si>
  <si>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</si>
  <si>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</si>
  <si>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</si>
  <si>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</si>
  <si>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</si>
  <si>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</si>
  <si>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</si>
  <si>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</si>
  <si>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</si>
  <si>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</si>
  <si>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</si>
  <si>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</si>
  <si>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</si>
  <si>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</si>
  <si>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</si>
  <si>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</si>
  <si>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</si>
  <si>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</si>
  <si>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</si>
  <si>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</si>
  <si>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</si>
  <si>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</si>
  <si>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</si>
  <si>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</si>
  <si>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</si>
  <si>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</si>
  <si>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</si>
  <si>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</si>
  <si>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</si>
  <si>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</si>
  <si>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</si>
  <si>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</si>
  <si>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</si>
  <si>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</si>
  <si>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</si>
  <si>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</si>
  <si>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</si>
  <si>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</si>
  <si>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</si>
  <si>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</si>
  <si>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</si>
  <si>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</si>
  <si>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</si>
  <si>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</si>
  <si>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</si>
  <si>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</si>
  <si>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</si>
  <si>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</si>
  <si>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</si>
  <si>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</si>
  <si>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</si>
  <si>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</si>
  <si>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</si>
  <si>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</si>
  <si>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</si>
  <si>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</si>
  <si>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</si>
  <si>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</si>
  <si>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</si>
  <si>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</si>
  <si>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</si>
  <si>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</si>
  <si>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</si>
  <si>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</si>
  <si>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</si>
  <si>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</si>
  <si>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</si>
  <si>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</si>
  <si>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</si>
  <si>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</si>
  <si>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</si>
  <si>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</si>
  <si>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</si>
  <si>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</si>
  <si>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</si>
  <si>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</si>
  <si>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</si>
  <si>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</si>
  <si>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</si>
  <si>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</si>
  <si>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</si>
  <si>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</si>
  <si>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</si>
  <si>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</si>
  <si>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</si>
  <si>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</si>
  <si>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</si>
  <si>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</si>
  <si>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</si>
  <si>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</si>
  <si>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</si>
  <si>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</si>
  <si>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</si>
  <si>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</si>
  <si>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</si>
  <si>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</si>
  <si>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</si>
  <si>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</si>
  <si>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</si>
  <si>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</si>
  <si>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</si>
  <si>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</si>
  <si>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</si>
  <si>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</si>
  <si>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</si>
  <si>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</si>
  <si>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</si>
  <si>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</si>
  <si>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</si>
  <si>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</si>
  <si>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</si>
  <si>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</si>
  <si>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</si>
  <si>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</si>
  <si>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</si>
  <si>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</si>
  <si>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</si>
  <si>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</si>
  <si>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</si>
  <si>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</si>
  <si>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</si>
  <si>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</si>
  <si>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</si>
  <si>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</si>
  <si>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</si>
  <si>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</si>
  <si>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</si>
  <si>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</si>
  <si>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</si>
  <si>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</si>
  <si>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</si>
  <si>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</si>
  <si>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</si>
  <si>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</si>
  <si>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</si>
  <si>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</si>
  <si>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</si>
  <si>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</si>
  <si>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</si>
  <si>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</si>
  <si>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</si>
  <si>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</si>
  <si>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</si>
  <si>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</si>
  <si>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</si>
  <si>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</si>
  <si>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</si>
  <si>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</si>
  <si>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</si>
  <si>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</si>
  <si>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</si>
  <si>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</si>
  <si>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</si>
  <si>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</si>
  <si>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</si>
  <si>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</si>
  <si>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</si>
  <si>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</si>
  <si>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</si>
  <si>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</si>
  <si>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</si>
  <si>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</si>
  <si>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</si>
  <si>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</si>
  <si>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</si>
  <si>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</si>
  <si>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</si>
  <si>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</si>
  <si>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</si>
  <si>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</si>
  <si>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</si>
  <si>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</si>
  <si>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</si>
  <si>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</si>
  <si>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</si>
  <si>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</si>
  <si>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</si>
  <si>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</si>
  <si>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</si>
  <si>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</si>
  <si>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</si>
  <si>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</si>
  <si>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</si>
  <si>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</si>
  <si>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</si>
  <si>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</si>
  <si>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</si>
  <si>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</si>
  <si>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</si>
  <si>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</si>
  <si>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</si>
  <si>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</si>
  <si>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</si>
  <si>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</si>
  <si>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</si>
  <si>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</si>
  <si>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</si>
  <si>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</si>
  <si>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</si>
  <si>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</si>
  <si>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</si>
  <si>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</si>
  <si>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</si>
  <si>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</si>
  <si>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</si>
  <si>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</si>
  <si>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</si>
  <si>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</si>
  <si>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</si>
  <si>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</si>
  <si>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</si>
  <si>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</si>
  <si>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</si>
  <si>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</si>
  <si>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</si>
  <si>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</si>
  <si>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</si>
  <si>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</si>
  <si>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</si>
  <si>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</si>
  <si>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</si>
  <si>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</si>
  <si>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</si>
  <si>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</si>
  <si>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</si>
  <si>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</si>
  <si>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</si>
  <si>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</si>
  <si>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</si>
  <si>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</si>
  <si>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</si>
  <si>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</si>
  <si>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</si>
  <si>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</si>
  <si>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</si>
  <si>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</si>
  <si>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</si>
  <si>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</si>
  <si>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</si>
  <si>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</si>
  <si>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</si>
  <si>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</si>
  <si>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</si>
  <si>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</si>
  <si>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</si>
  <si>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</si>
  <si>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</si>
  <si>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</si>
  <si>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</si>
  <si>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</si>
  <si>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</si>
  <si>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</si>
  <si>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</si>
  <si>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</si>
  <si>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</si>
  <si>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</si>
  <si>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</si>
  <si>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</si>
  <si>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</si>
  <si>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</si>
  <si>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</si>
  <si>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</si>
  <si>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</si>
  <si>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</si>
  <si>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</si>
  <si>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</si>
  <si>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</si>
  <si>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</si>
  <si>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</si>
  <si>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</si>
  <si>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</si>
  <si>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</si>
  <si>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</si>
  <si>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</si>
  <si>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</si>
  <si>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</si>
  <si>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</si>
  <si>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</si>
  <si>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</si>
  <si>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</si>
  <si>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</si>
  <si>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</si>
  <si>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</si>
  <si>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</si>
  <si>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</si>
  <si>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</si>
  <si>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</si>
  <si>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</si>
  <si>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</si>
  <si>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</si>
  <si>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</si>
  <si>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</si>
  <si>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</si>
  <si>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</si>
  <si>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</si>
  <si>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</si>
  <si>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</si>
  <si>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</si>
  <si>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</si>
  <si>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</si>
  <si>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</si>
  <si>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</si>
  <si>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</si>
  <si>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</si>
  <si>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</si>
  <si>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</si>
  <si>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</si>
  <si>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</si>
  <si>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</si>
  <si>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</si>
  <si>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</si>
  <si>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</si>
  <si>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</si>
  <si>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</si>
  <si>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</si>
  <si>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</si>
  <si>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</si>
  <si>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</si>
  <si>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</si>
  <si>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</si>
  <si>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</si>
  <si>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</si>
  <si>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</si>
  <si>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</si>
  <si>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</si>
  <si>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</si>
  <si>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</si>
  <si>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</si>
  <si>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</si>
  <si>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</si>
  <si>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</si>
  <si>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</si>
  <si>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</si>
  <si>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</si>
  <si>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</si>
  <si>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</si>
  <si>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</si>
  <si>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</si>
  <si>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</si>
  <si>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</si>
  <si>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</si>
  <si>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</si>
  <si>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</si>
  <si>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</si>
  <si>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</si>
  <si>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</si>
  <si>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</si>
  <si>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</si>
  <si>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</si>
  <si>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</si>
  <si>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</si>
  <si>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</si>
  <si>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</si>
  <si>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</si>
  <si>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</si>
  <si>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</si>
  <si>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</si>
  <si>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</si>
  <si>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</si>
  <si>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</si>
  <si>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</si>
  <si>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</si>
  <si>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</si>
  <si>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</si>
  <si>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</si>
  <si>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</si>
  <si>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</si>
  <si>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</si>
  <si>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</si>
  <si>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</si>
  <si>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</si>
  <si>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</si>
  <si>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</si>
  <si>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</si>
  <si>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</si>
  <si>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</si>
  <si>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</si>
  <si>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</si>
  <si>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</si>
  <si>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</si>
  <si>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</si>
  <si>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</si>
  <si>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</si>
  <si>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</si>
  <si>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</si>
  <si>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</si>
  <si>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</si>
  <si>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</si>
  <si>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</si>
  <si>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</si>
  <si>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</si>
  <si>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</si>
  <si>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</si>
  <si>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</si>
  <si>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</si>
  <si>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</si>
  <si>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</si>
  <si>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</si>
  <si>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</si>
  <si>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</si>
  <si>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</si>
  <si>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</si>
  <si>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</si>
  <si>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</si>
  <si>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</si>
  <si>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</si>
  <si>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</si>
  <si>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</si>
  <si>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</si>
  <si>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</si>
  <si>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</si>
  <si>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</si>
  <si>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</si>
  <si>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</si>
  <si>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</si>
  <si>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</si>
  <si>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</si>
  <si>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</si>
  <si>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</si>
  <si>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</si>
  <si>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</si>
  <si>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</si>
  <si>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</si>
  <si>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</si>
  <si>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</si>
  <si>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</si>
  <si>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</si>
  <si>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</si>
  <si>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</si>
  <si>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</si>
  <si>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</si>
  <si>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</si>
  <si>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</si>
  <si>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</si>
  <si>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</si>
  <si>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</si>
  <si>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</si>
  <si>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</si>
  <si>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</si>
  <si>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</si>
  <si>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</si>
  <si>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</si>
  <si>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</si>
  <si>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</si>
  <si>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</si>
  <si>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</si>
  <si>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</si>
  <si>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</si>
  <si>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</si>
  <si>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</si>
  <si>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</si>
  <si>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</si>
  <si>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</si>
  <si>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</si>
  <si>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</si>
  <si>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</si>
  <si>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</si>
  <si>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</si>
  <si>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</si>
  <si>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</si>
  <si>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</si>
  <si>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</si>
  <si>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</si>
  <si>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</si>
  <si>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</si>
  <si>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</si>
  <si>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</si>
  <si>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</si>
  <si>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</si>
  <si>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</si>
  <si>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</si>
  <si>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</si>
  <si>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</si>
  <si>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</si>
  <si>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</si>
  <si>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</si>
  <si>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</si>
  <si>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</si>
  <si>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</si>
  <si>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</si>
  <si>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</si>
  <si>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</si>
  <si>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</si>
  <si>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</si>
  <si>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</si>
  <si>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</si>
  <si>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</si>
  <si>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</si>
  <si>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</si>
  <si>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</si>
  <si>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</si>
  <si>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</si>
  <si>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</si>
  <si>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</si>
  <si>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</si>
  <si>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</si>
  <si>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</si>
  <si>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</si>
  <si>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</si>
  <si>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</si>
  <si>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</si>
  <si>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</si>
  <si>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</si>
  <si>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</si>
  <si>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</si>
  <si>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</si>
  <si>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</si>
  <si>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</si>
  <si>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</si>
  <si>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</si>
  <si>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</si>
  <si>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</si>
  <si>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</si>
  <si>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</si>
  <si>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</si>
  <si>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</si>
  <si>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</si>
  <si>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</si>
  <si>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</si>
  <si>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</si>
  <si>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</si>
  <si>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</si>
  <si>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</si>
  <si>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</si>
  <si>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</si>
  <si>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</si>
  <si>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</si>
  <si>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</si>
  <si>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</si>
  <si>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</si>
  <si>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</si>
  <si>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</si>
  <si>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</si>
  <si>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</si>
  <si>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</si>
  <si>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</si>
  <si>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</si>
  <si>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</si>
  <si>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</si>
  <si>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</si>
  <si>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</si>
  <si>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</si>
  <si>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</si>
  <si>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</si>
  <si>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</si>
  <si>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</si>
  <si>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</si>
  <si>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</si>
  <si>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</si>
  <si>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</si>
  <si>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</si>
  <si>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</si>
  <si>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</si>
  <si>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</si>
  <si>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</si>
  <si>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</si>
  <si>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</si>
  <si>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</si>
  <si>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</si>
  <si>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</si>
  <si>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</si>
  <si>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</si>
  <si>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</si>
  <si>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</si>
  <si>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</si>
  <si>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</si>
  <si>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</si>
  <si>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</si>
  <si>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</si>
  <si>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</si>
  <si>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</si>
  <si>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</si>
  <si>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</si>
  <si>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</si>
  <si>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</si>
  <si>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</si>
  <si>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</si>
  <si>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</si>
  <si>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</si>
  <si>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</si>
  <si>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</si>
  <si>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</si>
  <si>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</si>
  <si>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</si>
  <si>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</si>
  <si>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</si>
  <si>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</si>
  <si>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</si>
  <si>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</si>
  <si>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</si>
  <si>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</si>
  <si>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</si>
  <si>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</si>
  <si>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</si>
  <si>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</si>
  <si>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</si>
  <si>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</si>
  <si>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</si>
  <si>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</si>
  <si>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</si>
  <si>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</si>
  <si>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</si>
  <si>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</si>
  <si>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</si>
  <si>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</si>
  <si>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</si>
  <si>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</si>
  <si>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</si>
  <si>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</si>
  <si>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</si>
  <si>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</si>
  <si>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</si>
  <si>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</si>
  <si>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</si>
  <si>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</si>
  <si>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</si>
  <si>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</si>
  <si>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</si>
  <si>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</si>
  <si>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</si>
  <si>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</si>
  <si>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</si>
  <si>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</si>
  <si>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</si>
  <si>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</si>
  <si>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</si>
  <si>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</si>
  <si>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</si>
  <si>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</si>
  <si>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</si>
  <si>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</si>
  <si>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</si>
  <si>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</si>
  <si>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</si>
  <si>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</si>
  <si>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</si>
  <si>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</si>
  <si>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</si>
  <si>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</si>
  <si>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</si>
  <si>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</si>
  <si>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</si>
  <si>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</si>
  <si>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</si>
  <si>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</si>
  <si>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</si>
  <si>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</si>
  <si>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</si>
  <si>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</si>
  <si>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</si>
  <si>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</si>
  <si>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</si>
  <si>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</si>
  <si>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</si>
  <si>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</si>
  <si>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</si>
  <si>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</si>
  <si>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</si>
  <si>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</si>
  <si>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</si>
  <si>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</si>
  <si>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</si>
  <si>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</si>
  <si>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</si>
  <si>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</si>
  <si>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</si>
  <si>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</si>
  <si>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</si>
  <si>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</si>
  <si>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</si>
  <si>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</si>
  <si>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</si>
  <si>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</si>
  <si>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</si>
  <si>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</si>
  <si>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</si>
  <si>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</si>
  <si>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</si>
  <si>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</si>
  <si>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</si>
  <si>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</si>
  <si>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</si>
  <si>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</si>
  <si>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</si>
  <si>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</si>
  <si>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</si>
  <si>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</si>
  <si>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</si>
  <si>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</si>
  <si>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</si>
  <si>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</si>
  <si>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</si>
  <si>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</si>
  <si>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</si>
  <si>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</si>
  <si>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</si>
  <si>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</si>
  <si>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</si>
  <si>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</si>
  <si>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</si>
  <si>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</si>
  <si>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</si>
  <si>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</si>
  <si>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</si>
  <si>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</si>
  <si>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</si>
  <si>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</si>
  <si>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</si>
  <si>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</si>
  <si>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</si>
  <si>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</si>
  <si>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</si>
  <si>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</si>
  <si>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</si>
  <si>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</si>
  <si>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</si>
  <si>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</si>
  <si>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</si>
  <si>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</si>
  <si>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</si>
  <si>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</si>
  <si>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</si>
  <si>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</si>
  <si>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</si>
  <si>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</si>
  <si>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</si>
  <si>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</si>
  <si>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</si>
  <si>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</si>
  <si>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</si>
  <si>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</si>
  <si>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</si>
  <si>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</si>
  <si>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</si>
  <si>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</si>
  <si>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</si>
  <si>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</si>
  <si>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</si>
  <si>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</si>
  <si>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</si>
  <si>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</si>
  <si>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</si>
  <si>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</si>
  <si>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</si>
  <si>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</si>
  <si>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</si>
  <si>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</si>
  <si>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</si>
  <si>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</si>
  <si>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</si>
  <si>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</si>
  <si>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</si>
  <si>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</si>
  <si>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</si>
  <si>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</si>
  <si>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</si>
  <si>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</si>
  <si>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</si>
  <si>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</si>
  <si>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</si>
  <si>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</si>
  <si>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</si>
  <si>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</si>
  <si>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</si>
  <si>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</si>
  <si>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</si>
  <si>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</si>
  <si>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</si>
  <si>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</si>
  <si>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</si>
  <si>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</si>
  <si>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</si>
  <si>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</si>
  <si>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</si>
  <si>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</si>
  <si>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</si>
  <si>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</si>
  <si>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</si>
  <si>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</si>
  <si>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</si>
  <si>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</si>
  <si>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</si>
  <si>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</si>
  <si>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</si>
  <si>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</si>
  <si>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</si>
  <si>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</si>
  <si>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</si>
  <si>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</si>
  <si>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</si>
  <si>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</si>
  <si>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</si>
  <si>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</si>
  <si>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</si>
  <si>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</si>
  <si>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</si>
  <si>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</si>
  <si>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</si>
  <si>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</si>
  <si>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</si>
  <si>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</si>
  <si>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</si>
  <si>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</si>
  <si>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</si>
  <si>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</si>
  <si>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</si>
  <si>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</si>
  <si>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</si>
  <si>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</si>
  <si>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</si>
  <si>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</si>
  <si>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</si>
  <si>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</si>
  <si>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</si>
  <si>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</si>
  <si>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</si>
  <si>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</si>
  <si>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</si>
  <si>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</si>
  <si>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</si>
  <si>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</si>
  <si>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</si>
  <si>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</si>
  <si>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</si>
  <si>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</si>
  <si>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</si>
  <si>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</si>
  <si>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</si>
  <si>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</si>
  <si>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</si>
  <si>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</si>
  <si>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</si>
  <si>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</si>
  <si>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</si>
  <si>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</si>
  <si>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</si>
  <si>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</si>
  <si>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</si>
  <si>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</si>
  <si>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</si>
  <si>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</si>
  <si>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</si>
  <si>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</si>
  <si>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</si>
  <si>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</si>
  <si>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</si>
  <si>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</si>
  <si>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</si>
  <si>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</si>
  <si>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</si>
  <si>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</si>
  <si>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</si>
  <si>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</si>
  <si>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</si>
  <si>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</si>
  <si>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</si>
  <si>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</si>
  <si>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</si>
  <si>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</si>
  <si>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</si>
  <si>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</si>
  <si>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</si>
  <si>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</si>
  <si>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</si>
  <si>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</si>
  <si>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</si>
  <si>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</si>
  <si>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</si>
  <si>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</si>
  <si>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</si>
  <si>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</si>
  <si>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</si>
  <si>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</si>
  <si>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</si>
  <si>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</si>
  <si>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</si>
  <si>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</si>
  <si>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</si>
  <si>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</si>
  <si>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</si>
  <si>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</si>
  <si>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</si>
  <si>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</si>
  <si>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</si>
  <si>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</si>
  <si>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</si>
  <si>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</si>
  <si>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</si>
  <si>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</si>
  <si>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</si>
  <si>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</si>
  <si>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</si>
  <si>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</si>
  <si>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</si>
  <si>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</si>
  <si>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</si>
  <si>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</si>
  <si>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</si>
  <si>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</si>
  <si>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</si>
  <si>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</si>
  <si>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</si>
  <si>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</si>
  <si>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</si>
  <si>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</si>
  <si>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</si>
  <si>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</si>
  <si>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</si>
  <si>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</si>
  <si>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</si>
  <si>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</si>
  <si>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</si>
  <si>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</si>
  <si>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</si>
  <si>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</si>
  <si>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</si>
  <si>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</si>
  <si>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</si>
  <si>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</si>
  <si>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</si>
  <si>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</si>
  <si>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</si>
  <si>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</si>
  <si>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</si>
  <si>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</si>
  <si>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</si>
  <si>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</si>
  <si>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</si>
  <si>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</si>
  <si>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</si>
  <si>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</si>
  <si>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</si>
  <si>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</si>
  <si>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</si>
  <si>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</si>
  <si>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</si>
  <si>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</si>
  <si>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</si>
  <si>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</si>
  <si>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</si>
  <si>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</si>
  <si>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</si>
  <si>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</si>
  <si>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</si>
  <si>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</si>
  <si>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</si>
  <si>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</si>
  <si>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</si>
  <si>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</si>
  <si>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</si>
  <si>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</si>
  <si>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</si>
  <si>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</si>
  <si>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</si>
  <si>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</si>
  <si>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</si>
  <si>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</si>
  <si>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</si>
  <si>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</si>
  <si>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</si>
  <si>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</si>
  <si>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</si>
  <si>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</si>
  <si>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</si>
  <si>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</si>
  <si>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</si>
  <si>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</si>
  <si>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</si>
  <si>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</si>
  <si>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</si>
  <si>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</si>
  <si>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</si>
  <si>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</si>
  <si>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</si>
  <si>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</si>
  <si>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</si>
  <si>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</si>
  <si>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</si>
  <si>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</si>
  <si>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</si>
  <si>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</si>
  <si>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</si>
  <si>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</si>
  <si>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</si>
  <si>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</si>
  <si>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</si>
  <si>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</si>
  <si>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</si>
  <si>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</si>
  <si>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</si>
  <si>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</si>
  <si>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</si>
  <si>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</si>
  <si>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</si>
  <si>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</si>
  <si>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</si>
  <si>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</si>
  <si>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</si>
  <si>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</si>
  <si>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</si>
  <si>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</si>
  <si>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</si>
  <si>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</si>
  <si>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</si>
  <si>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</si>
  <si>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</si>
  <si>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</si>
  <si>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</si>
  <si>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</si>
  <si>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</si>
  <si>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</si>
  <si>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</si>
  <si>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</si>
  <si>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</si>
  <si>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</si>
  <si>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</si>
  <si>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</si>
  <si>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</si>
  <si>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</si>
  <si>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</si>
  <si>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</si>
  <si>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</si>
  <si>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</si>
  <si>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</si>
  <si>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</si>
  <si>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</si>
  <si>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</si>
  <si>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</si>
  <si>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</si>
  <si>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</si>
  <si>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</si>
  <si>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</si>
  <si>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</si>
  <si>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</si>
  <si>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</si>
  <si>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</si>
  <si>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</si>
  <si>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</si>
  <si>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</si>
  <si>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</si>
  <si>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</si>
  <si>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</si>
  <si>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</si>
  <si>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</si>
  <si>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</si>
  <si>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</si>
  <si>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</si>
  <si>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</si>
  <si>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</si>
  <si>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</si>
  <si>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</si>
  <si>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</si>
  <si>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</si>
  <si>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</si>
  <si>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</si>
  <si>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</si>
  <si>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</si>
  <si>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</si>
  <si>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</si>
  <si>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</si>
  <si>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</si>
  <si>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</si>
  <si>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</si>
  <si>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</si>
  <si>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</si>
  <si>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</si>
  <si>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</si>
  <si>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</si>
  <si>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</si>
  <si>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</si>
  <si>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</si>
  <si>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</si>
  <si>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</si>
  <si>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</si>
  <si>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</si>
  <si>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</si>
  <si>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</si>
  <si>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</si>
  <si>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</si>
  <si>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</si>
  <si>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</si>
  <si>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</si>
  <si>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</si>
  <si>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</si>
  <si>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</si>
  <si>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</si>
  <si>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</si>
  <si>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</si>
  <si>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</si>
  <si>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</si>
  <si>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</si>
  <si>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</si>
  <si>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</si>
  <si>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</si>
  <si>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</si>
  <si>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</si>
  <si>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</si>
  <si>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</si>
  <si>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</si>
  <si>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</si>
  <si>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</si>
  <si>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</si>
  <si>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</si>
  <si>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</si>
  <si>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</si>
  <si>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</si>
  <si>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</si>
  <si>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</si>
  <si>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</si>
  <si>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</si>
  <si>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</si>
  <si>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</si>
  <si>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</si>
  <si>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</si>
  <si>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</si>
  <si>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</si>
  <si>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</si>
  <si>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</si>
  <si>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</si>
  <si>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</si>
  <si>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</si>
  <si>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</si>
  <si>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</si>
  <si>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</si>
  <si>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</si>
  <si>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</si>
  <si>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</si>
  <si>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</si>
  <si>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</si>
  <si>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</si>
  <si>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</si>
  <si>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</si>
  <si>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</si>
  <si>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</si>
  <si>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</si>
  <si>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</si>
  <si>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</si>
  <si>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</si>
  <si>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</si>
  <si>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</si>
  <si>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</si>
  <si>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</si>
  <si>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</si>
  <si>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</si>
  <si>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</si>
  <si>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</si>
  <si>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</si>
  <si>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</si>
  <si>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</si>
  <si>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</si>
  <si>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</si>
  <si>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</si>
  <si>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</si>
  <si>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</si>
  <si>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</si>
  <si>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</si>
  <si>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</si>
  <si>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</si>
  <si>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</si>
  <si>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</si>
  <si>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</si>
  <si>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</si>
  <si>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</si>
  <si>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</si>
  <si>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</si>
  <si>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</si>
  <si>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</si>
  <si>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</si>
  <si>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</si>
  <si>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</si>
  <si>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</si>
  <si>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</si>
  <si>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</si>
  <si>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</si>
  <si>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</si>
  <si>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</si>
  <si>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</si>
  <si>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</si>
  <si>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</si>
  <si>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</si>
  <si>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</si>
  <si>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</si>
  <si>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</si>
  <si>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</si>
  <si>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</si>
  <si>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</si>
  <si>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</si>
  <si>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</si>
  <si>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</si>
  <si>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</si>
  <si>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</si>
  <si>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</si>
  <si>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</si>
  <si>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</si>
  <si>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</si>
  <si>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</si>
  <si>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</si>
  <si>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</si>
  <si>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</si>
  <si>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</si>
  <si>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</si>
  <si>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</si>
  <si>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</si>
  <si>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</si>
  <si>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</si>
  <si>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</si>
  <si>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</si>
  <si>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</si>
  <si>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</si>
  <si>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</si>
  <si>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</si>
  <si>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</si>
  <si>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</si>
  <si>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</si>
  <si>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</si>
  <si>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</si>
  <si>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</si>
  <si>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</si>
  <si>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</si>
  <si>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</si>
  <si>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</si>
  <si>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</si>
  <si>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</si>
  <si>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</si>
  <si>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</si>
  <si>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</si>
  <si>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</si>
  <si>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</si>
  <si>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</si>
  <si>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</si>
  <si>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</si>
  <si>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</si>
  <si>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</si>
  <si>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</si>
  <si>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</si>
  <si>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</si>
  <si>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</si>
  <si>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</si>
  <si>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</si>
  <si>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</si>
  <si>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</si>
  <si>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</si>
  <si>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</si>
  <si>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</si>
  <si>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</si>
  <si>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</si>
  <si>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</si>
  <si>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</si>
  <si>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</si>
  <si>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</si>
  <si>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</si>
  <si>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</si>
  <si>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</si>
  <si>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</si>
  <si>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</si>
  <si>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</si>
  <si>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</si>
  <si>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</si>
  <si>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</si>
  <si>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</si>
  <si>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</si>
  <si>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</si>
  <si>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</si>
  <si>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</si>
  <si>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</si>
  <si>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</si>
  <si>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</si>
  <si>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</si>
  <si>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</si>
  <si>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</si>
  <si>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</si>
  <si>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</si>
  <si>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</si>
  <si>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</si>
  <si>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</si>
  <si>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</si>
  <si>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</si>
  <si>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</si>
  <si>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</si>
  <si>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</si>
  <si>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</si>
  <si>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</si>
  <si>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</si>
  <si>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</si>
  <si>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</si>
  <si>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</si>
  <si>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</si>
  <si>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</si>
  <si>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</si>
  <si>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</si>
  <si>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</si>
  <si>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</si>
  <si>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</si>
  <si>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</si>
  <si>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</si>
  <si>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</si>
  <si>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</si>
  <si>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</si>
  <si>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</si>
  <si>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</si>
  <si>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</si>
  <si>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</si>
  <si>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</si>
  <si>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</si>
  <si>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</si>
  <si>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</si>
  <si>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</si>
  <si>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</si>
  <si>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</si>
  <si>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</si>
  <si>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</si>
  <si>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</si>
  <si>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</si>
  <si>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</si>
  <si>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</si>
  <si>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</si>
  <si>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</si>
  <si>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</si>
  <si>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</si>
  <si>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</si>
  <si>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</si>
  <si>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</si>
  <si>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</si>
  <si>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</si>
  <si>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</si>
  <si>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</si>
  <si>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</si>
  <si>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</si>
  <si>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</si>
  <si>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</si>
  <si>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</si>
  <si>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</si>
  <si>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</si>
  <si>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</si>
  <si>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</si>
  <si>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</si>
  <si>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</si>
  <si>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</si>
  <si>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</si>
  <si>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</si>
  <si>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</si>
  <si>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</si>
  <si>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</si>
  <si>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</si>
  <si>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</si>
  <si>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</si>
  <si>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</si>
  <si>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</si>
  <si>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</si>
  <si>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</si>
  <si>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</si>
  <si>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</si>
  <si>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</si>
  <si>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</si>
  <si>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</si>
  <si>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</si>
  <si>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</si>
  <si>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</si>
  <si>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</si>
  <si>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</si>
  <si>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</si>
  <si>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</si>
  <si>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</si>
  <si>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</si>
  <si>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</si>
  <si>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</si>
  <si>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</si>
  <si>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</si>
  <si>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</si>
  <si>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</si>
  <si>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</si>
  <si>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</si>
  <si>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</si>
  <si>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</si>
  <si>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</si>
  <si>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</si>
  <si>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</si>
  <si>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</si>
  <si>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</si>
  <si>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</si>
  <si>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</si>
  <si>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</si>
  <si>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</si>
  <si>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</si>
  <si>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</si>
  <si>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</si>
  <si>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</si>
  <si>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</si>
  <si>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</si>
  <si>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</si>
  <si>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</si>
  <si>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</si>
  <si>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</si>
  <si>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</si>
  <si>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</si>
  <si>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</si>
  <si>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</si>
  <si>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</si>
  <si>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</si>
  <si>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</si>
  <si>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</si>
  <si>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</si>
  <si>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</si>
  <si>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</si>
  <si>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</si>
  <si>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</si>
  <si>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</si>
  <si>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</si>
  <si>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</si>
  <si>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</si>
  <si>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</si>
  <si>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</si>
  <si>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</si>
  <si>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</si>
  <si>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</si>
  <si>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</si>
  <si>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</si>
  <si>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</si>
  <si>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</si>
  <si>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</si>
  <si>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</si>
  <si>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</si>
  <si>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</si>
  <si>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</si>
  <si>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</si>
  <si>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</si>
  <si>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</si>
  <si>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</si>
  <si>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</si>
  <si>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</si>
  <si>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</si>
  <si>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</si>
  <si>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</si>
  <si>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</si>
  <si>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</si>
  <si>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</si>
  <si>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</si>
  <si>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</si>
  <si>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</si>
  <si>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</si>
  <si>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</si>
  <si>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</si>
  <si>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</si>
  <si>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</si>
  <si>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</si>
  <si>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</si>
  <si>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</si>
  <si>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</si>
  <si>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</si>
  <si>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</si>
  <si>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</si>
  <si>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</si>
  <si>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</si>
  <si>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</si>
  <si>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</si>
  <si>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</si>
  <si>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</si>
  <si>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</si>
  <si>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</si>
  <si>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</si>
  <si>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</si>
  <si>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</si>
  <si>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</si>
  <si>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</si>
  <si>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</si>
  <si>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</si>
  <si>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</si>
  <si>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</si>
  <si>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</si>
  <si>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</si>
  <si>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</si>
  <si>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</si>
  <si>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</si>
  <si>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</si>
  <si>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</si>
  <si>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</si>
  <si>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</si>
  <si>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</si>
  <si>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</si>
  <si>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</si>
  <si>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</si>
  <si>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</si>
  <si>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</si>
  <si>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</si>
  <si>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</si>
  <si>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</si>
  <si>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</si>
  <si>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</si>
  <si>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</si>
  <si>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</si>
  <si>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</si>
  <si>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</si>
  <si>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</si>
  <si>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</si>
  <si>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</si>
  <si>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</si>
  <si>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</si>
  <si>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</si>
  <si>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</si>
  <si>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</si>
  <si>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</si>
  <si>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</si>
  <si>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</si>
  <si>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</si>
  <si>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</si>
  <si>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</si>
  <si>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</si>
  <si>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</si>
  <si>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</si>
  <si>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</si>
  <si>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</si>
  <si>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</si>
  <si>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</si>
  <si>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</si>
  <si>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</si>
  <si>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</si>
  <si>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</si>
  <si>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</si>
  <si>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</si>
  <si>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</si>
  <si>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</si>
  <si>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</si>
  <si>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</si>
  <si>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</si>
  <si>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</si>
  <si>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</si>
  <si>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</si>
  <si>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</si>
  <si>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</si>
  <si>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</si>
  <si>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</si>
  <si>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</si>
  <si>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</si>
  <si>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</si>
  <si>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</si>
  <si>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</si>
  <si>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</si>
  <si>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</si>
  <si>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</si>
  <si>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</si>
  <si>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</si>
  <si>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</si>
  <si>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</si>
  <si>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</si>
  <si>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</si>
  <si>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</si>
  <si>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</si>
  <si>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</si>
  <si>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</si>
  <si>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</si>
  <si>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</si>
  <si>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</si>
  <si>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</si>
  <si>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</si>
  <si>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</si>
  <si>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</si>
  <si>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</si>
  <si>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</si>
  <si>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</si>
  <si>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</si>
  <si>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</si>
  <si>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</si>
  <si>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</si>
  <si>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</si>
  <si>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</si>
  <si>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</si>
  <si>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</si>
  <si>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</si>
  <si>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</si>
  <si>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</si>
  <si>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</si>
  <si>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</si>
  <si>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</si>
  <si>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</si>
  <si>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</si>
  <si>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</si>
  <si>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</si>
  <si>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</si>
  <si>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</si>
  <si>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</si>
  <si>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</si>
  <si>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</si>
  <si>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</si>
  <si>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</si>
  <si>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</si>
  <si>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</si>
  <si>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</si>
  <si>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</si>
  <si>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</si>
  <si>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</si>
  <si>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</si>
  <si>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</si>
  <si>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</si>
  <si>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</si>
  <si>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</si>
  <si>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</si>
  <si>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</si>
  <si>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</si>
  <si>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</si>
  <si>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</si>
  <si>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</si>
  <si>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</si>
  <si>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</si>
  <si>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</si>
  <si>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</si>
  <si>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</si>
  <si>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</si>
  <si>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</si>
  <si>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</si>
  <si>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</si>
  <si>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</si>
  <si>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</si>
  <si>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</si>
  <si>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</si>
  <si>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</si>
  <si>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</si>
  <si>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</si>
  <si>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</si>
  <si>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</si>
  <si>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</si>
  <si>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</si>
  <si>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</si>
  <si>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</si>
  <si>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</si>
  <si>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</si>
  <si>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</si>
  <si>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</si>
  <si>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</si>
  <si>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</si>
  <si>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</si>
  <si>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</si>
  <si>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</si>
  <si>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</si>
  <si>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</si>
  <si>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</si>
  <si>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</si>
  <si>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</si>
  <si>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</si>
  <si>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</si>
  <si>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</si>
  <si>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</si>
  <si>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</si>
  <si>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</si>
  <si>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</si>
  <si>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</si>
  <si>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</si>
  <si>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</si>
  <si>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</si>
  <si>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</si>
  <si>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</si>
  <si>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</si>
  <si>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</si>
  <si>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</si>
  <si>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</si>
  <si>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</si>
  <si>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</si>
  <si>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</si>
  <si>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</si>
  <si>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</si>
  <si>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</si>
  <si>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</si>
  <si>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</si>
  <si>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</si>
  <si>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</si>
  <si>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</si>
  <si>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</si>
  <si>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</si>
  <si>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</si>
  <si>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</si>
  <si>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</si>
  <si>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</si>
  <si>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</si>
  <si>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</si>
  <si>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</si>
  <si>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</si>
  <si>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</si>
  <si>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</si>
  <si>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</si>
  <si>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</si>
  <si>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</si>
  <si>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</si>
  <si>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</si>
  <si>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</si>
  <si>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</si>
  <si>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</si>
  <si>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</si>
  <si>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</si>
  <si>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</si>
  <si>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</si>
  <si>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</si>
  <si>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</si>
  <si>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</si>
  <si>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</si>
  <si>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</si>
  <si>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</si>
  <si>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</si>
  <si>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</si>
  <si>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</si>
  <si>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</si>
  <si>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</si>
  <si>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</si>
  <si>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</si>
  <si>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</si>
  <si>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</si>
  <si>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</si>
  <si>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</si>
  <si>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</si>
  <si>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</si>
  <si>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</si>
  <si>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</si>
  <si>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</si>
  <si>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</si>
  <si>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</si>
  <si>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</si>
  <si>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</si>
  <si>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</si>
  <si>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</si>
  <si>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</si>
  <si>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</si>
  <si>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</si>
  <si>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</si>
  <si>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</si>
  <si>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</si>
  <si>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</si>
  <si>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</si>
  <si>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</si>
  <si>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</si>
  <si>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</si>
  <si>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</si>
  <si>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</si>
  <si>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</si>
  <si>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</si>
  <si>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</si>
  <si>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</si>
  <si>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</si>
  <si>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</si>
  <si>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</si>
  <si>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</si>
  <si>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</si>
  <si>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</si>
  <si>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</si>
  <si>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</si>
  <si>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</si>
  <si>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</si>
  <si>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</si>
  <si>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</si>
  <si>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</si>
  <si>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</si>
  <si>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</si>
  <si>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</si>
  <si>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</si>
  <si>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</si>
  <si>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</si>
  <si>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</si>
  <si>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</si>
  <si>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</si>
  <si>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</si>
  <si>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</si>
  <si>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</si>
  <si>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</si>
  <si>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</si>
  <si>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</si>
  <si>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</si>
  <si>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</si>
  <si>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</si>
  <si>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</si>
  <si>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</si>
  <si>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</si>
  <si>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</si>
  <si>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</si>
  <si>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</si>
  <si>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</si>
  <si>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</si>
  <si>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</si>
  <si>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</si>
  <si>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</si>
  <si>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</si>
  <si>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</si>
  <si>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</si>
  <si>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</si>
  <si>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</si>
  <si>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</si>
  <si>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</si>
  <si>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</si>
  <si>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</si>
  <si>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</si>
  <si>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</si>
  <si>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</si>
  <si>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</si>
  <si>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</si>
  <si>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</si>
  <si>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</si>
  <si>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</si>
  <si>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</si>
  <si>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</si>
  <si>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</si>
  <si>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</si>
  <si>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</si>
  <si>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</si>
  <si>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</si>
  <si>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</si>
  <si>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</si>
  <si>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</si>
  <si>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</si>
  <si>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</si>
  <si>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</si>
  <si>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</si>
  <si>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</si>
  <si>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</si>
  <si>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</si>
  <si>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</si>
  <si>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</si>
  <si>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</si>
  <si>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</si>
  <si>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</si>
  <si>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</si>
  <si>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</si>
  <si>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</si>
  <si>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</si>
  <si>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</si>
  <si>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</si>
  <si>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</si>
  <si>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</si>
  <si>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</si>
  <si>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</si>
  <si>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</si>
  <si>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</si>
  <si>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</si>
  <si>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</si>
  <si>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</si>
  <si>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</si>
  <si>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</si>
  <si>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</si>
  <si>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</si>
  <si>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</si>
  <si>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</si>
  <si>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</si>
  <si>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</si>
  <si>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</si>
  <si>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</si>
  <si>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</si>
  <si>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</si>
  <si>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</si>
  <si>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</si>
  <si>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</si>
  <si>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</si>
  <si>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</si>
  <si>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</si>
  <si>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</si>
  <si>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</si>
  <si>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</si>
  <si>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</si>
  <si>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</si>
  <si>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</si>
  <si>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</si>
  <si>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</si>
  <si>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</si>
  <si>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</si>
  <si>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</si>
  <si>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</si>
  <si>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</si>
  <si>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</si>
  <si>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</si>
  <si>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</si>
  <si>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</si>
  <si>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</si>
  <si>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</si>
  <si>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</si>
  <si>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</si>
  <si>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</si>
  <si>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</si>
  <si>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</si>
  <si>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</si>
  <si>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</si>
  <si>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</si>
  <si>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</si>
  <si>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</si>
  <si>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</si>
  <si>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</si>
  <si>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</si>
  <si>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</si>
  <si>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</si>
  <si>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</si>
  <si>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</si>
  <si>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</si>
  <si>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</si>
  <si>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</si>
  <si>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</si>
  <si>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</si>
  <si>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</si>
  <si>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</si>
  <si>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</si>
  <si>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</si>
  <si>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</si>
  <si>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</si>
  <si>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</si>
  <si>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</si>
  <si>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</si>
  <si>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</si>
  <si>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</si>
  <si>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</si>
  <si>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</si>
  <si>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</si>
  <si>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</si>
  <si>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</si>
  <si>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</si>
  <si>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</si>
  <si>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</si>
  <si>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</si>
  <si>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</si>
  <si>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</si>
  <si>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</si>
  <si>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</si>
  <si>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</si>
  <si>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</si>
  <si>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</si>
  <si>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</si>
  <si>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</si>
  <si>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</si>
  <si>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</si>
  <si>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</si>
  <si>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</si>
  <si>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</si>
  <si>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</si>
  <si>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</si>
  <si>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</si>
  <si>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</si>
  <si>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</si>
  <si>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</si>
  <si>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</si>
  <si>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</si>
  <si>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</si>
  <si>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</si>
  <si>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</si>
  <si>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</si>
  <si>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</si>
  <si>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</si>
  <si>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</si>
  <si>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</si>
  <si>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</si>
  <si>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</si>
  <si>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</si>
  <si>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</si>
  <si>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</si>
  <si>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</si>
  <si>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</si>
  <si>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</si>
  <si>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</si>
  <si>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</si>
  <si>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</si>
  <si>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</si>
  <si>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</si>
  <si>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</si>
  <si>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</si>
  <si>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</si>
  <si>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</si>
  <si>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</si>
  <si>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</si>
  <si>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</si>
  <si>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</si>
  <si>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</si>
  <si>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</si>
  <si>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</si>
  <si>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</si>
  <si>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</si>
  <si>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</si>
  <si>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</si>
  <si>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</si>
  <si>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</si>
  <si>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</si>
  <si>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</si>
  <si>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</si>
  <si>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</si>
  <si>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</si>
  <si>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</si>
  <si>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</si>
  <si>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</si>
  <si>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</si>
  <si>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</si>
  <si>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</si>
  <si>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</si>
  <si>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</si>
  <si>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</si>
  <si>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</si>
  <si>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</si>
  <si>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</si>
  <si>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</si>
  <si>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</si>
  <si>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</si>
  <si>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</si>
  <si>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</si>
  <si>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</si>
  <si>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</si>
  <si>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</si>
  <si>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</si>
  <si>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</si>
  <si>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</si>
  <si>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</si>
  <si>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</si>
  <si>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</si>
  <si>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</si>
  <si>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</si>
  <si>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</si>
  <si>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</si>
  <si>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</si>
  <si>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</si>
  <si>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</si>
  <si>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</si>
  <si>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</si>
  <si>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</si>
  <si>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</si>
  <si>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</si>
  <si>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</si>
  <si>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</si>
  <si>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</si>
  <si>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</si>
  <si>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</si>
  <si>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</si>
  <si>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</si>
  <si>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</si>
  <si>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</si>
  <si>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</si>
  <si>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</si>
  <si>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</si>
  <si>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</si>
  <si>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</si>
  <si>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</si>
  <si>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</si>
  <si>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</si>
  <si>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</si>
  <si>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</si>
  <si>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</si>
  <si>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</si>
  <si>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</si>
  <si>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</si>
  <si>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</si>
  <si>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</si>
  <si>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</si>
  <si>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</si>
  <si>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</si>
  <si>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</si>
  <si>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</si>
  <si>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</si>
  <si>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</si>
  <si>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</si>
  <si>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</si>
  <si>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</si>
  <si>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</si>
  <si>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</si>
  <si>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</si>
  <si>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</si>
  <si>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</si>
  <si>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</si>
  <si>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</si>
  <si>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</si>
  <si>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</si>
  <si>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</si>
  <si>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</si>
  <si>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</si>
  <si>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</si>
  <si>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</si>
  <si>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</si>
  <si>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</si>
  <si>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</si>
  <si>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</si>
  <si>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</si>
  <si>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</si>
  <si>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</si>
  <si>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</si>
  <si>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</si>
  <si>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</si>
  <si>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</si>
  <si>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</si>
  <si>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</si>
  <si>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</si>
  <si>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</si>
  <si>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</si>
  <si>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</si>
  <si>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</si>
  <si>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</si>
  <si>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</si>
  <si>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</si>
  <si>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</si>
  <si>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</si>
  <si>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</si>
  <si>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</si>
  <si>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</si>
  <si>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</si>
  <si>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</si>
  <si>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</si>
  <si>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</si>
  <si>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</si>
  <si>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</si>
  <si>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</si>
  <si>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</si>
  <si>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</si>
  <si>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</si>
  <si>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</si>
  <si>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</si>
  <si>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</si>
  <si>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</si>
  <si>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</si>
  <si>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</si>
  <si>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</si>
  <si>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</si>
  <si>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</si>
  <si>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</si>
  <si>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</si>
  <si>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</si>
  <si>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</si>
  <si>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</si>
  <si>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</si>
  <si>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</si>
  <si>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</si>
  <si>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</si>
  <si>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</si>
  <si>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</si>
  <si>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</si>
  <si>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</si>
  <si>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</si>
  <si>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</si>
  <si>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</si>
  <si>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</si>
  <si>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</si>
  <si>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</si>
  <si>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</si>
  <si>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</si>
  <si>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</si>
  <si>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</si>
  <si>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</si>
  <si>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</si>
  <si>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</si>
  <si>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</si>
  <si>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</si>
  <si>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</si>
  <si>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</si>
  <si>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</si>
  <si>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</si>
  <si>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</si>
  <si>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</si>
  <si>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</si>
  <si>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</si>
  <si>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</si>
  <si>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</si>
  <si>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</si>
  <si>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</si>
  <si>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</si>
  <si>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</si>
  <si>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</si>
  <si>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</si>
  <si>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</si>
  <si>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</si>
  <si>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</si>
  <si>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</si>
  <si>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</si>
  <si>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</si>
  <si>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</si>
  <si>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</si>
  <si>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</si>
  <si>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</si>
  <si>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</si>
  <si>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</si>
  <si>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</si>
  <si>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</si>
  <si>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</si>
  <si>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</si>
  <si>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</si>
  <si>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</si>
  <si>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</si>
  <si>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</si>
  <si>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</si>
  <si>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</si>
  <si>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</si>
  <si>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</si>
  <si>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</si>
  <si>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</si>
  <si>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</si>
  <si>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</si>
  <si>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</si>
  <si>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</si>
  <si>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</si>
  <si>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</si>
  <si>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</si>
  <si>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</si>
  <si>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</si>
  <si>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</si>
  <si>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</si>
  <si>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</si>
  <si>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</si>
  <si>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</si>
  <si>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</si>
  <si>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</si>
  <si>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</si>
  <si>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</si>
  <si>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</si>
  <si>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</si>
  <si>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</si>
  <si>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</si>
  <si>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</si>
  <si>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</si>
  <si>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</si>
  <si>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</si>
  <si>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</si>
  <si>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</si>
  <si>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</si>
  <si>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</si>
  <si>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</si>
  <si>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</si>
  <si>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</si>
  <si>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</si>
  <si>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</si>
  <si>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</si>
  <si>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</si>
  <si>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</si>
  <si>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</si>
  <si>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</si>
  <si>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</si>
  <si>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</si>
  <si>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</si>
  <si>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</si>
  <si>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</si>
  <si>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</si>
  <si>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</si>
  <si>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</si>
  <si>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</si>
  <si>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</si>
  <si>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</si>
  <si>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</si>
  <si>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</si>
  <si>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</si>
  <si>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</si>
  <si>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</si>
  <si>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</si>
  <si>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</si>
  <si>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</si>
  <si>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</si>
  <si>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</si>
  <si>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</si>
  <si>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</si>
  <si>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</si>
  <si>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</si>
  <si>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</si>
  <si>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</si>
  <si>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</si>
  <si>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</si>
  <si>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</si>
  <si>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</si>
  <si>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</si>
  <si>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</si>
  <si>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</si>
  <si>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</si>
  <si>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</si>
  <si>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</si>
  <si>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</si>
  <si>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</si>
  <si>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</si>
  <si>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</si>
  <si>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</si>
  <si>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</si>
  <si>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</si>
  <si>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</si>
  <si>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</si>
  <si>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</si>
  <si>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</si>
  <si>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</si>
  <si>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</si>
  <si>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</si>
  <si>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</si>
  <si>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</si>
  <si>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</si>
  <si>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</si>
  <si>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</si>
  <si>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</si>
  <si>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</si>
  <si>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</si>
  <si>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</si>
  <si>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</si>
  <si>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</si>
  <si>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</si>
  <si>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</si>
  <si>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</si>
  <si>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</si>
  <si>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</si>
  <si>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</si>
  <si>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</si>
  <si>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</si>
  <si>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</si>
  <si>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</si>
  <si>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</si>
  <si>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</si>
  <si>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</si>
  <si>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</si>
  <si>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</si>
  <si>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</si>
  <si>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</si>
  <si>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</si>
  <si>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</si>
  <si>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</si>
  <si>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</si>
  <si>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</si>
  <si>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</si>
  <si>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</si>
  <si>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</si>
  <si>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</si>
  <si>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</si>
  <si>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</si>
  <si>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</si>
  <si>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</si>
  <si>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</si>
  <si>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</si>
  <si>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</si>
  <si>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</si>
  <si>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</si>
  <si>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</si>
  <si>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</si>
  <si>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</si>
  <si>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</si>
  <si>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</si>
  <si>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</si>
  <si>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</si>
  <si>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</si>
  <si>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</si>
  <si>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</si>
  <si>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</si>
  <si>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</si>
  <si>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</si>
  <si>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</si>
  <si>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</si>
  <si>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</si>
  <si>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</si>
  <si>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</si>
  <si>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</si>
  <si>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</si>
  <si>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</si>
  <si>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</si>
  <si>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</si>
  <si>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</si>
  <si>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</si>
  <si>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</si>
  <si>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</si>
  <si>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</si>
  <si>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</si>
  <si>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</si>
  <si>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</si>
  <si>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</si>
  <si>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</si>
  <si>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</si>
  <si>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</si>
  <si>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</si>
  <si>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</si>
  <si>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</si>
  <si>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</si>
  <si>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</si>
  <si>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</si>
  <si>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</si>
  <si>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</si>
  <si>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</si>
  <si>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</si>
  <si>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</si>
  <si>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</si>
  <si>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</si>
  <si>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</si>
  <si>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</si>
  <si>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</si>
  <si>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</si>
  <si>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</si>
  <si>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</si>
  <si>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</si>
  <si>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</si>
  <si>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</si>
  <si>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</si>
  <si>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</si>
  <si>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</si>
  <si>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</si>
  <si>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</si>
  <si>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</si>
  <si>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</si>
  <si>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</si>
  <si>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</si>
  <si>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</si>
  <si>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</si>
  <si>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</si>
  <si>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</si>
  <si>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</si>
  <si>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</si>
  <si>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</si>
  <si>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</si>
  <si>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</si>
  <si>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</si>
  <si>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</si>
  <si>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</si>
  <si>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</si>
  <si>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</si>
  <si>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</si>
  <si>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</si>
  <si>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</si>
  <si>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</si>
  <si>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</si>
  <si>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</si>
  <si>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</si>
  <si>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</si>
  <si>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</si>
  <si>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</si>
  <si>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</si>
  <si>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</si>
  <si>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</si>
  <si>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</si>
  <si>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</si>
  <si>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</si>
  <si>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</si>
  <si>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</si>
  <si>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</si>
  <si>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</si>
  <si>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</si>
  <si>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</si>
  <si>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</si>
  <si>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</si>
  <si>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</si>
  <si>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</si>
  <si>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</si>
  <si>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</si>
  <si>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</si>
  <si>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</si>
  <si>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</si>
  <si>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</si>
  <si>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</si>
  <si>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</si>
  <si>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</si>
  <si>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</si>
  <si>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</si>
  <si>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</si>
  <si>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</si>
  <si>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</si>
  <si>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</si>
  <si>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</si>
  <si>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</si>
  <si>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</si>
  <si>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</si>
  <si>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</si>
  <si>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</si>
  <si>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</si>
  <si>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</si>
  <si>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</si>
  <si>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</si>
  <si>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</si>
  <si>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</si>
  <si>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</si>
  <si>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</si>
  <si>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</si>
  <si>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</si>
  <si>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</si>
  <si>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</si>
  <si>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</si>
  <si>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</si>
  <si>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</si>
  <si>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</si>
  <si>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</si>
  <si>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</si>
  <si>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</si>
  <si>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</si>
  <si>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</si>
  <si>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</si>
  <si>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</si>
  <si>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</si>
  <si>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</si>
  <si>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</si>
  <si>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</si>
  <si>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</si>
  <si>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</si>
  <si>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</si>
  <si>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</si>
  <si>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</si>
  <si>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</si>
  <si>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</si>
  <si>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</si>
  <si>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</si>
  <si>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</si>
  <si>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</si>
  <si>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</si>
  <si>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</si>
  <si>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</si>
  <si>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</si>
  <si>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</si>
  <si>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</si>
  <si>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</si>
  <si>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</si>
  <si>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</si>
  <si>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</si>
  <si>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</si>
  <si>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</si>
  <si>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</si>
  <si>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</si>
  <si>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</si>
  <si>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</si>
  <si>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</si>
  <si>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</si>
  <si>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</si>
  <si>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</si>
  <si>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</si>
  <si>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</si>
  <si>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</si>
  <si>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</si>
  <si>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</si>
  <si>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</si>
  <si>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</si>
  <si>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</si>
  <si>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</si>
  <si>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</si>
  <si>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</si>
  <si>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</si>
  <si>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</si>
  <si>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</si>
  <si>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</si>
  <si>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</si>
  <si>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</si>
  <si>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</si>
  <si>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</si>
  <si>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</si>
  <si>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</si>
  <si>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</si>
  <si>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</si>
  <si>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</si>
  <si>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</si>
  <si>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</si>
  <si>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</si>
  <si>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</si>
  <si>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</si>
  <si>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</si>
  <si>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</si>
  <si>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</si>
  <si>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</si>
  <si>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</si>
  <si>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</si>
  <si>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</si>
  <si>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</si>
  <si>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</si>
  <si>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</si>
  <si>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</si>
  <si>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</si>
  <si>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</si>
  <si>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</si>
  <si>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</si>
  <si>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</si>
  <si>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</si>
  <si>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</si>
  <si>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</si>
  <si>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</si>
  <si>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</si>
  <si>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</si>
  <si>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</si>
  <si>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</si>
  <si>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</si>
  <si>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</si>
  <si>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</si>
  <si>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</si>
  <si>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</si>
  <si>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</si>
  <si>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</si>
  <si>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</si>
  <si>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</si>
  <si>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</si>
  <si>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</si>
  <si>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</si>
  <si>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</si>
  <si>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</si>
  <si>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</si>
  <si>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</si>
  <si>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</si>
  <si>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</si>
  <si>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</si>
  <si>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</si>
  <si>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</si>
  <si>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</si>
  <si>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</si>
  <si>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</si>
  <si>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</si>
  <si>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</si>
  <si>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</si>
  <si>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</si>
  <si>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</si>
  <si>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</si>
  <si>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</si>
  <si>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</si>
  <si>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</si>
  <si>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</si>
  <si>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</si>
  <si>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</si>
  <si>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</si>
  <si>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</si>
  <si>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</si>
  <si>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</si>
  <si>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</si>
  <si>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</si>
  <si>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</si>
  <si>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</si>
  <si>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</si>
  <si>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</si>
  <si>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</si>
  <si>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</si>
  <si>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</si>
  <si>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</si>
  <si>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</si>
  <si>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</si>
  <si>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</si>
  <si>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</si>
  <si>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</si>
  <si>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</si>
  <si>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</si>
  <si>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</si>
  <si>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</si>
  <si>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</si>
  <si>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</si>
  <si>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</si>
  <si>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</si>
  <si>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</si>
  <si>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</si>
  <si>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</si>
  <si>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</si>
  <si>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</si>
  <si>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</si>
  <si>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</si>
  <si>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</si>
  <si>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</si>
  <si>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</si>
  <si>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</si>
  <si>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</si>
  <si>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</si>
  <si>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</si>
  <si>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</si>
  <si>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</si>
  <si>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</si>
  <si>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</si>
  <si>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</si>
  <si>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</si>
  <si>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</si>
  <si>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</si>
  <si>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</si>
  <si>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</si>
  <si>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</si>
  <si>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</si>
  <si>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</si>
  <si>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</si>
  <si>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</si>
  <si>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</si>
  <si>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</si>
  <si>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</si>
  <si>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</si>
  <si>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</si>
  <si>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</si>
  <si>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</si>
  <si>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</si>
  <si>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</si>
  <si>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</si>
  <si>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</si>
  <si>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</si>
  <si>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</si>
  <si>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</si>
  <si>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</si>
  <si>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</si>
  <si>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</si>
  <si>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</si>
  <si>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</si>
  <si>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</si>
  <si>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</si>
  <si>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</si>
  <si>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</si>
  <si>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</si>
  <si>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</si>
  <si>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</si>
  <si>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</si>
  <si>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</si>
  <si>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</si>
  <si>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</si>
  <si>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</si>
  <si>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</si>
  <si>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</si>
  <si>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</si>
  <si>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</si>
  <si>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</si>
  <si>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</si>
  <si>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</si>
  <si>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</si>
  <si>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</si>
  <si>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</si>
  <si>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</si>
  <si>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</si>
  <si>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</si>
  <si>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</si>
  <si>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</si>
  <si>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</si>
  <si>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</si>
  <si>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</si>
  <si>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</si>
  <si>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</si>
  <si>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</si>
  <si>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</si>
  <si>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</si>
  <si>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</si>
  <si>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</si>
  <si>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</si>
  <si>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</si>
  <si>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</si>
  <si>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</si>
  <si>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</si>
  <si>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</si>
  <si>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</si>
  <si>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</si>
  <si>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</si>
  <si>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</si>
  <si>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</si>
  <si>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</si>
  <si>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</si>
  <si>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</si>
  <si>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</si>
  <si>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</si>
  <si>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</si>
  <si>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</si>
  <si>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</si>
  <si>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</si>
  <si>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</si>
  <si>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</si>
  <si>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</si>
  <si>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</si>
  <si>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</si>
  <si>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</si>
  <si>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</si>
  <si>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</si>
  <si>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</si>
  <si>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</si>
  <si>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</si>
  <si>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</si>
  <si>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</si>
  <si>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</si>
  <si>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</si>
  <si>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</si>
  <si>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</si>
  <si>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</si>
  <si>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</si>
  <si>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</si>
  <si>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</si>
  <si>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</si>
  <si>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</si>
  <si>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</si>
  <si>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</si>
  <si>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</si>
  <si>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</si>
  <si>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</si>
  <si>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</si>
  <si>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</si>
  <si>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</si>
  <si>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</si>
  <si>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</si>
  <si>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</si>
  <si>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</si>
  <si>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</si>
  <si>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</si>
  <si>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</si>
  <si>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</si>
  <si>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</si>
  <si>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</si>
  <si>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</si>
  <si>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</si>
  <si>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</si>
  <si>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</si>
  <si>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</si>
  <si>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</si>
  <si>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</si>
  <si>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</si>
  <si>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</si>
  <si>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</si>
  <si>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</si>
  <si>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</si>
  <si>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</si>
  <si>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</si>
  <si>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</si>
  <si>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</si>
  <si>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</si>
  <si>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</si>
  <si>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</si>
  <si>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</si>
  <si>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</si>
  <si>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</si>
  <si>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</si>
  <si>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</si>
  <si>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</si>
  <si>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</si>
  <si>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</si>
  <si>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</si>
  <si>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</si>
  <si>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</si>
  <si>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</si>
  <si>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</si>
  <si>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</si>
  <si>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</si>
  <si>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</si>
  <si>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</si>
  <si>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</si>
  <si>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</si>
  <si>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</si>
  <si>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</si>
  <si>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</si>
  <si>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</si>
  <si>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</si>
  <si>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</si>
  <si>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</si>
  <si>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</si>
  <si>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</si>
  <si>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</si>
  <si>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</si>
  <si>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</si>
  <si>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</si>
  <si>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</si>
  <si>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</si>
  <si>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</si>
  <si>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</si>
  <si>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</si>
  <si>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</si>
  <si>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</si>
  <si>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</si>
  <si>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</si>
  <si>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</si>
  <si>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</si>
  <si>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</si>
  <si>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</si>
  <si>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</si>
  <si>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</si>
  <si>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</si>
  <si>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</si>
  <si>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</si>
  <si>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</si>
  <si>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</si>
  <si>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</si>
  <si>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</si>
  <si>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</si>
  <si>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</si>
  <si>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</si>
  <si>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</si>
  <si>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</si>
  <si>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</si>
  <si>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</si>
  <si>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</si>
  <si>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</si>
  <si>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</si>
  <si>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</si>
  <si>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</si>
  <si>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</si>
  <si>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</si>
  <si>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</si>
  <si>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</si>
  <si>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</si>
  <si>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</si>
  <si>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</si>
  <si>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</si>
  <si>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</si>
  <si>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</si>
  <si>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</si>
  <si>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</si>
  <si>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</si>
  <si>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</si>
  <si>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</si>
  <si>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</si>
  <si>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</si>
  <si>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</si>
  <si>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</si>
  <si>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</si>
  <si>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</si>
  <si>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</si>
  <si>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</si>
  <si>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</si>
  <si>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</si>
  <si>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</si>
  <si>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</si>
  <si>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</si>
  <si>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</si>
  <si>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</si>
  <si>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</si>
  <si>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</si>
  <si>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</si>
  <si>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</si>
  <si>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</si>
  <si>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</si>
  <si>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</si>
  <si>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</si>
  <si>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</si>
  <si>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</si>
  <si>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</si>
  <si>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</si>
  <si>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</si>
  <si>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</si>
  <si>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</si>
  <si>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</si>
  <si>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</si>
  <si>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</si>
  <si>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</si>
  <si>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</si>
  <si>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</si>
  <si>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</si>
  <si>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</si>
  <si>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</si>
  <si>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</si>
  <si>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</si>
  <si>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</si>
  <si>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</si>
  <si>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</si>
  <si>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</si>
  <si>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</si>
  <si>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</si>
  <si>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</si>
  <si>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</si>
  <si>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</si>
  <si>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</si>
  <si>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</si>
  <si>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</si>
  <si>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</si>
  <si>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</si>
  <si>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</si>
  <si>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</si>
  <si>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</si>
  <si>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</si>
  <si>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</si>
  <si>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</si>
  <si>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</si>
  <si>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</si>
  <si>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</si>
  <si>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</si>
  <si>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</si>
  <si>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</si>
  <si>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</si>
  <si>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</si>
  <si>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</si>
  <si>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</si>
  <si>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</si>
  <si>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</si>
  <si>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</si>
  <si>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</si>
  <si>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</si>
  <si>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</si>
  <si>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</si>
  <si>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</si>
  <si>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</si>
  <si>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</si>
  <si>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</si>
  <si>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</si>
  <si>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</si>
  <si>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</si>
  <si>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</si>
  <si>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</si>
  <si>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</si>
  <si>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</si>
  <si>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</si>
  <si>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</si>
  <si>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</si>
  <si>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</si>
  <si>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</si>
  <si>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</si>
  <si>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</si>
  <si>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</si>
  <si>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</si>
  <si>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</si>
  <si>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</si>
  <si>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</si>
  <si>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</si>
  <si>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</si>
  <si>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</si>
  <si>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</si>
  <si>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</si>
  <si>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</si>
  <si>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</si>
  <si>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</si>
  <si>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</si>
  <si>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</si>
  <si>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</si>
  <si>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</si>
  <si>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</si>
  <si>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</si>
  <si>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</si>
  <si>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</si>
  <si>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</si>
  <si>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</si>
  <si>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</si>
  <si>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</si>
  <si>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</si>
  <si>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</si>
  <si>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</si>
  <si>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</si>
  <si>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</si>
  <si>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</si>
  <si>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</si>
  <si>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</si>
  <si>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</si>
  <si>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</si>
  <si>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</si>
  <si>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</si>
  <si>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</si>
  <si>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</si>
  <si>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</si>
  <si>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</si>
  <si>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</si>
  <si>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</si>
  <si>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</si>
  <si>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</si>
  <si>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</si>
  <si>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</si>
  <si>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</si>
  <si>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</si>
  <si>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</si>
  <si>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</si>
  <si>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</si>
  <si>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</si>
  <si>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</si>
  <si>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</si>
  <si>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</si>
  <si>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</si>
  <si>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</si>
  <si>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</si>
  <si>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</si>
  <si>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</si>
  <si>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</si>
  <si>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</si>
  <si>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</si>
  <si>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</si>
  <si>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</si>
  <si>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</si>
  <si>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</si>
  <si>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</si>
  <si>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</si>
  <si>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</si>
  <si>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</si>
  <si>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</si>
  <si>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</si>
  <si>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</si>
  <si>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</si>
  <si>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</si>
  <si>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</si>
  <si>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</si>
  <si>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</si>
  <si>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</si>
  <si>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</si>
  <si>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</si>
  <si>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</si>
  <si>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</si>
  <si>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</si>
  <si>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</si>
  <si>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</si>
  <si>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</si>
  <si>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</si>
  <si>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</si>
  <si>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</si>
  <si>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</si>
  <si>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</si>
  <si>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</si>
  <si>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</si>
  <si>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</si>
  <si>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</si>
  <si>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</si>
  <si>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</si>
  <si>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</si>
  <si>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</si>
  <si>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</si>
  <si>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</si>
  <si>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</si>
  <si>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</si>
  <si>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</si>
  <si>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</si>
  <si>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</si>
  <si>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</si>
  <si>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</si>
  <si>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</si>
  <si>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</si>
  <si>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</si>
  <si>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</si>
  <si>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</si>
  <si>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</si>
  <si>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</si>
  <si>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</si>
  <si>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</si>
  <si>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</si>
  <si>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</si>
  <si>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</si>
  <si>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</si>
  <si>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</si>
  <si>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</si>
  <si>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</si>
  <si>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</si>
  <si>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</si>
  <si>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</si>
  <si>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</si>
  <si>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</si>
  <si>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</si>
  <si>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</si>
  <si>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</si>
  <si>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</si>
  <si>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</si>
  <si>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</si>
  <si>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</si>
  <si>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</si>
  <si>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</si>
  <si>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</si>
  <si>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</si>
  <si>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</si>
  <si>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</si>
  <si>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</si>
  <si>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</si>
  <si>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</si>
  <si>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</si>
  <si>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</si>
  <si>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</si>
  <si>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</si>
  <si>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</si>
  <si>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</si>
  <si>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</si>
  <si>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</si>
  <si>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</si>
  <si>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</si>
  <si>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</si>
  <si>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</si>
  <si>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</si>
  <si>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</si>
  <si>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</si>
  <si>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</si>
  <si>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</si>
  <si>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</si>
  <si>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</si>
  <si>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</si>
  <si>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</si>
  <si>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</si>
  <si>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</si>
  <si>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</si>
  <si>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</si>
  <si>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</si>
  <si>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</si>
  <si>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</si>
  <si>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</si>
  <si>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</si>
  <si>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</si>
  <si>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</si>
  <si>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</si>
  <si>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</si>
  <si>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</si>
  <si>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</si>
  <si>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</si>
  <si>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</si>
  <si>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</si>
  <si>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</si>
  <si>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</si>
  <si>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</si>
  <si>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</si>
  <si>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</si>
  <si>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</si>
  <si>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</si>
  <si>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</si>
  <si>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</si>
  <si>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</si>
  <si>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</si>
  <si>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</si>
  <si>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</si>
  <si>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</si>
  <si>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</si>
  <si>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</si>
  <si>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</si>
  <si>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</si>
  <si>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</si>
  <si>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</si>
  <si>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</si>
  <si>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</si>
  <si>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</si>
  <si>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</si>
  <si>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</si>
  <si>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</si>
  <si>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</si>
  <si>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</si>
  <si>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</si>
  <si>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</si>
  <si>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</si>
  <si>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</si>
  <si>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</si>
  <si>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</si>
  <si>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</si>
  <si>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</si>
  <si>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</si>
  <si>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</si>
  <si>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</si>
  <si>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</si>
  <si>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</si>
  <si>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</si>
  <si>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</si>
  <si>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</si>
  <si>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</si>
  <si>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</si>
  <si>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</si>
  <si>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</si>
  <si>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</si>
  <si>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</si>
  <si>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</si>
  <si>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</si>
  <si>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</si>
  <si>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</si>
  <si>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</si>
  <si>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</si>
  <si>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</si>
  <si>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</si>
  <si>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</si>
  <si>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</si>
  <si>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</si>
  <si>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</si>
  <si>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</si>
  <si>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</si>
  <si>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</si>
  <si>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</si>
  <si>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</si>
  <si>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</si>
  <si>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</si>
  <si>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</si>
  <si>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</si>
  <si>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</si>
  <si>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</si>
  <si>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</si>
  <si>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</si>
  <si>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</si>
  <si>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</si>
  <si>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</si>
  <si>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</si>
  <si>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</si>
  <si>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</si>
  <si>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</si>
  <si>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</si>
  <si>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</si>
  <si>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</si>
  <si>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</si>
  <si>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</si>
  <si>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</si>
  <si>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</si>
  <si>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</si>
  <si>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</si>
  <si>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</si>
  <si>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</si>
  <si>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</si>
  <si>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</si>
  <si>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</si>
  <si>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</si>
  <si>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</si>
  <si>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</si>
  <si>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</si>
  <si>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</si>
  <si>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</si>
  <si>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</si>
  <si>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</si>
  <si>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</si>
  <si>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</si>
  <si>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</si>
  <si>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</si>
  <si>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</si>
  <si>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</si>
  <si>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</si>
  <si>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</si>
  <si>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</si>
  <si>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</si>
  <si>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</si>
  <si>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</si>
  <si>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</si>
  <si>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</si>
  <si>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</si>
  <si>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</si>
  <si>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</si>
  <si>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</si>
  <si>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</si>
  <si>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</si>
  <si>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</si>
  <si>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</si>
  <si>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</si>
  <si>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</si>
  <si>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</si>
  <si>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</si>
  <si>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</si>
  <si>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</si>
  <si>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</si>
  <si>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</si>
  <si>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</si>
  <si>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</si>
  <si>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</si>
  <si>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</si>
  <si>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</si>
  <si>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</si>
  <si>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</si>
  <si>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</si>
  <si>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</si>
  <si>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</si>
  <si>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</si>
  <si>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</si>
  <si>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</si>
  <si>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</si>
  <si>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</si>
  <si>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</si>
  <si>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</si>
  <si>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</si>
  <si>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</si>
  <si>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</si>
  <si>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</si>
  <si>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</si>
  <si>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</si>
  <si>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</si>
  <si>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</si>
  <si>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</si>
  <si>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</si>
  <si>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</si>
  <si>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</si>
  <si>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</si>
  <si>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</si>
  <si>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</si>
  <si>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</si>
  <si>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</si>
  <si>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</si>
  <si>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</si>
  <si>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</si>
  <si>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</si>
  <si>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</si>
  <si>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</si>
  <si>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</si>
  <si>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</si>
  <si>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</si>
  <si>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</si>
  <si>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</si>
  <si>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</si>
  <si>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</si>
  <si>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</si>
  <si>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</si>
  <si>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</si>
  <si>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</si>
  <si>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</si>
  <si>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</si>
  <si>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</si>
  <si>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</si>
  <si>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</si>
  <si>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</si>
  <si>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</si>
  <si>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</si>
  <si>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</si>
  <si>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</si>
  <si>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</si>
  <si>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</si>
  <si>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</si>
  <si>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</si>
  <si>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</si>
  <si>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</si>
  <si>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</si>
  <si>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</si>
  <si>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</si>
  <si>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</si>
  <si>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</si>
  <si>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</si>
  <si>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</si>
  <si>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</si>
  <si>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</si>
  <si>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</si>
  <si>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</si>
  <si>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</si>
  <si>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</si>
  <si>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</si>
  <si>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</si>
  <si>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</si>
  <si>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</si>
  <si>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</si>
  <si>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</si>
  <si>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</si>
  <si>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</si>
  <si>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</si>
  <si>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</si>
  <si>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</si>
  <si>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</si>
  <si>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</si>
  <si>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</si>
  <si>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</si>
  <si>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</si>
  <si>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</si>
  <si>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</si>
  <si>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</si>
  <si>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</si>
  <si>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</si>
  <si>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</si>
  <si>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</si>
  <si>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</si>
  <si>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</si>
  <si>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</si>
  <si>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</si>
  <si>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</si>
  <si>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</si>
  <si>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</si>
  <si>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</si>
  <si>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</si>
  <si>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</si>
  <si>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</si>
  <si>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</si>
  <si>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</si>
  <si>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</si>
  <si>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</si>
  <si>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</si>
  <si>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</si>
  <si>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</si>
  <si>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</si>
  <si>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</si>
  <si>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</si>
  <si>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</si>
  <si>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</si>
  <si>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</si>
  <si>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</si>
  <si>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</si>
  <si>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</si>
  <si>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</si>
  <si>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</si>
  <si>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</si>
  <si>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</si>
  <si>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</si>
  <si>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</si>
  <si>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</si>
  <si>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</si>
  <si>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</si>
  <si>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</si>
  <si>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</si>
  <si>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</si>
  <si>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</si>
  <si>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</si>
  <si>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</si>
  <si>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</si>
  <si>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</si>
  <si>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</si>
  <si>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</si>
  <si>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</si>
  <si>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</si>
  <si>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</si>
  <si>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</si>
  <si>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</si>
  <si>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</si>
  <si>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</si>
  <si>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</si>
  <si>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</si>
  <si>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</si>
  <si>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</si>
  <si>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</si>
  <si>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</si>
  <si>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</si>
  <si>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</si>
  <si>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</si>
  <si>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</si>
  <si>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</si>
  <si>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</si>
  <si>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</si>
  <si>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</si>
  <si>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</si>
  <si>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</si>
  <si>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</si>
  <si>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</si>
  <si>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</si>
  <si>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</si>
  <si>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</si>
  <si>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</si>
  <si>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</si>
  <si>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</si>
  <si>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</si>
  <si>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</si>
  <si>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</si>
  <si>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</si>
  <si>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</si>
  <si>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</si>
  <si>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</si>
  <si>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</si>
  <si>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</si>
  <si>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</si>
  <si>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</si>
  <si>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</si>
  <si>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</si>
  <si>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</si>
  <si>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</si>
  <si>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</si>
  <si>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</si>
  <si>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</si>
  <si>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</si>
  <si>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</si>
  <si>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</si>
  <si>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</si>
  <si>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</si>
  <si>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</si>
  <si>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</si>
  <si>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</si>
  <si>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</si>
  <si>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</si>
  <si>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</si>
  <si>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</si>
  <si>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</si>
  <si>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</si>
  <si>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</si>
  <si>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</si>
  <si>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</si>
  <si>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</si>
  <si>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</si>
  <si>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</si>
  <si>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</si>
  <si>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</si>
  <si>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</si>
  <si>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</si>
  <si>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</si>
  <si>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</si>
  <si>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</si>
  <si>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</si>
  <si>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</si>
  <si>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</si>
  <si>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</si>
  <si>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</si>
  <si>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</si>
  <si>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</si>
  <si>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</si>
  <si>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</si>
  <si>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</si>
  <si>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</si>
  <si>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</si>
  <si>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</si>
  <si>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</si>
  <si>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</si>
  <si>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</si>
  <si>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</si>
  <si>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</si>
  <si>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</si>
  <si>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</si>
  <si>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</si>
  <si>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</si>
  <si>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</si>
  <si>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</si>
  <si>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</si>
  <si>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</si>
  <si>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</si>
  <si>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</si>
  <si>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</si>
  <si>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</si>
  <si>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</si>
  <si>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</si>
  <si>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</si>
  <si>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</si>
  <si>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</si>
  <si>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</si>
  <si>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</si>
  <si>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</si>
  <si>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</si>
  <si>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</si>
  <si>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</si>
  <si>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</si>
  <si>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</si>
  <si>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</si>
  <si>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</si>
  <si>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</si>
  <si>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</si>
  <si>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</si>
  <si>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</si>
  <si>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</si>
  <si>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</si>
  <si>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</si>
  <si>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</si>
  <si>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</si>
  <si>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</si>
  <si>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</si>
  <si>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</si>
  <si>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</si>
  <si>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</si>
  <si>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</si>
  <si>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</si>
  <si>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</si>
  <si>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</si>
  <si>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</si>
  <si>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</si>
  <si>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</si>
  <si>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</si>
  <si>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</si>
  <si>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</si>
  <si>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</si>
  <si>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</si>
  <si>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</si>
  <si>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</si>
  <si>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</si>
  <si>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</si>
  <si>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</si>
  <si>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</si>
  <si>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</si>
  <si>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</si>
  <si>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</si>
  <si>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</si>
  <si>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</si>
  <si>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</si>
  <si>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</si>
  <si>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</si>
  <si>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</si>
  <si>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</si>
  <si>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</si>
  <si>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</si>
  <si>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</si>
  <si>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</si>
  <si>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</si>
  <si>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</si>
  <si>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</si>
  <si>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</si>
  <si>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</si>
  <si>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</si>
  <si>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</si>
  <si>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</si>
  <si>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</si>
  <si>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</si>
  <si>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</si>
  <si>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</si>
  <si>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</si>
  <si>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</si>
  <si>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</si>
  <si>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</si>
  <si>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</si>
  <si>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</si>
  <si>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</si>
  <si>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</si>
  <si>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</si>
  <si>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</si>
  <si>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</si>
  <si>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</si>
  <si>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</si>
  <si>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</si>
  <si>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</si>
  <si>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</si>
  <si>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</si>
  <si>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</si>
  <si>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</si>
  <si>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</si>
  <si>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</si>
  <si>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</si>
  <si>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</si>
  <si>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</si>
  <si>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</si>
  <si>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</si>
  <si>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</si>
  <si>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</si>
  <si>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</si>
  <si>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</si>
  <si>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</si>
  <si>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</si>
  <si>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</si>
  <si>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</si>
  <si>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</si>
  <si>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</si>
  <si>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</si>
  <si>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</si>
  <si>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</si>
  <si>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</si>
  <si>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</si>
  <si>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</si>
  <si>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</si>
  <si>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</si>
  <si>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</si>
  <si>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</si>
  <si>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</si>
  <si>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</si>
  <si>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</si>
  <si>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</si>
  <si>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</si>
  <si>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</si>
  <si>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</si>
  <si>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</si>
  <si>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</si>
  <si>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</si>
  <si>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</si>
  <si>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</si>
  <si>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</si>
  <si>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</si>
  <si>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</si>
  <si>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</si>
  <si>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</si>
  <si>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</si>
  <si>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</si>
  <si>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</si>
  <si>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</si>
  <si>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</si>
  <si>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</si>
  <si>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</si>
  <si>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</si>
  <si>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</si>
  <si>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</si>
  <si>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</si>
  <si>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</si>
  <si>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</si>
  <si>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</si>
  <si>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</si>
  <si>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</si>
  <si>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</si>
  <si>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</si>
  <si>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</si>
  <si>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</si>
  <si>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</si>
  <si>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</si>
  <si>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</si>
  <si>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</si>
  <si>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</si>
  <si>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</si>
  <si>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</si>
  <si>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</si>
  <si>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</si>
  <si>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</si>
  <si>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</si>
  <si>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</si>
  <si>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</si>
  <si>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</si>
  <si>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</si>
  <si>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</si>
  <si>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</si>
  <si>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</si>
  <si>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</si>
  <si>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</si>
  <si>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</si>
  <si>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</si>
  <si>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</si>
  <si>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</si>
  <si>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</si>
  <si>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</si>
  <si>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</si>
  <si>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</si>
  <si>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</si>
  <si>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</si>
  <si>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</si>
  <si>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</si>
  <si>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</si>
  <si>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</si>
  <si>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</si>
  <si>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</si>
  <si>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</si>
  <si>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</si>
  <si>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</si>
  <si>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</si>
  <si>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</si>
  <si>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</si>
  <si>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</si>
  <si>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</si>
  <si>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</si>
  <si>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</si>
  <si>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</si>
  <si>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</si>
  <si>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</si>
  <si>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</si>
  <si>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</si>
  <si>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</si>
  <si>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</si>
  <si>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</si>
  <si>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</si>
  <si>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</si>
  <si>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</si>
  <si>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</si>
  <si>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</si>
  <si>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</si>
  <si>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</si>
  <si>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</si>
  <si>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</si>
  <si>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</si>
  <si>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</si>
  <si>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</si>
  <si>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</si>
  <si>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</si>
  <si>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</si>
  <si>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</si>
  <si>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</si>
  <si>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</si>
  <si>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</si>
  <si>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</si>
  <si>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</si>
  <si>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</si>
  <si>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</si>
  <si>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</si>
  <si>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</si>
  <si>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</si>
  <si>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</si>
  <si>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</si>
  <si>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</si>
  <si>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</si>
  <si>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</si>
  <si>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</si>
  <si>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</si>
  <si>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</si>
  <si>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</si>
  <si>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</si>
  <si>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</si>
  <si>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</si>
  <si>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</si>
  <si>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</si>
  <si>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</si>
  <si>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</si>
  <si>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</si>
  <si>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</si>
  <si>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</si>
  <si>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</si>
  <si>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</si>
  <si>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</si>
  <si>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</si>
  <si>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</si>
  <si>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</si>
  <si>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</si>
  <si>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</si>
  <si>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</si>
  <si>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</si>
  <si>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</si>
  <si>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</si>
  <si>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</si>
  <si>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</si>
  <si>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</si>
  <si>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</si>
  <si>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</si>
  <si>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</si>
  <si>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</si>
  <si>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</si>
  <si>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Moti Amsalem</t>
  </si>
  <si>
    <t>972-4-6506259</t>
  </si>
  <si>
    <t>Expert Materials Quality Engineer</t>
  </si>
  <si>
    <t>www.towerjazz.com</t>
  </si>
  <si>
    <t>NO. 300,KEJING SHE, HAICANG</t>
  </si>
  <si>
    <t>1 HAWES STREET</t>
  </si>
  <si>
    <t>Liu (Eric) Renfeng</t>
  </si>
  <si>
    <t>liu.rengfeng@cxtc.com</t>
  </si>
  <si>
    <t>Listed on RMAP Conformant Tungsten Smelter List</t>
  </si>
  <si>
    <t>Karin Laursen</t>
  </si>
  <si>
    <t>karin.laursen@globaltungsten.com</t>
  </si>
  <si>
    <t>Confidential</t>
  </si>
  <si>
    <t>Fab 3</t>
  </si>
  <si>
    <t>Factory Number</t>
  </si>
  <si>
    <t>4321 Jamboree Road, Newport Beach, CA  92660</t>
  </si>
  <si>
    <t xml:space="preserve">cammmh@towersemi.com </t>
  </si>
  <si>
    <t>TowerJazz  Semiconductor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</si>
</sst>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65" xfId="0" applyBorder="1" applyProtection="1">
      <protection locked="0"/>
    </xf>
    <xf numFmtId="0" fontId="0" fillId="0" borderId="65" xfId="0" applyFont="1" applyBorder="1" applyAlignment="1" applyProtection="1">
      <alignment wrapText="1"/>
      <protection locked="0"/>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wrapText="1"/>
      <protection locked="0"/>
    </xf>
    <xf numFmtId="0" fontId="7" fillId="2" borderId="54" xfId="487" applyFill="1" applyBorder="1" applyAlignment="1" applyProtection="1">
      <alignment horizontal="left" vertical="center" wrapText="1"/>
      <protection locked="0"/>
    </xf>
    <xf numFmtId="49" fontId="7" fillId="2" borderId="52" xfId="487" applyNumberFormat="1"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38">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ammmh@towersem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ammmh@towersem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4"/>
      <c r="B2" s="38" t="s">
        <v>963</v>
      </c>
      <c r="C2" s="36"/>
      <c r="D2" s="207"/>
      <c r="E2" s="3"/>
      <c r="F2" s="36"/>
      <c r="G2" s="34"/>
    </row>
    <row r="3" spans="1:7">
      <c r="A3" s="354"/>
      <c r="B3" s="5" t="s">
        <v>952</v>
      </c>
      <c r="C3" s="6"/>
      <c r="D3" s="208"/>
      <c r="E3" s="3"/>
      <c r="F3" s="6"/>
      <c r="G3" s="34"/>
    </row>
    <row r="4" spans="1:7" ht="15.75">
      <c r="A4" s="354"/>
      <c r="B4" s="41" t="s">
        <v>965</v>
      </c>
      <c r="C4" s="7"/>
      <c r="D4" s="209"/>
      <c r="E4" s="3"/>
      <c r="F4" s="7"/>
      <c r="G4" s="34"/>
    </row>
    <row r="5" spans="1:7">
      <c r="A5" s="354"/>
      <c r="B5" s="40" t="s">
        <v>1157</v>
      </c>
      <c r="C5" s="4"/>
      <c r="D5" s="210"/>
      <c r="E5" s="3"/>
      <c r="F5" s="4"/>
      <c r="G5" s="34"/>
    </row>
    <row r="6" spans="1:7">
      <c r="A6" s="354"/>
      <c r="B6" s="8"/>
      <c r="C6" s="8"/>
      <c r="D6" s="211"/>
      <c r="E6" s="8"/>
      <c r="F6" s="8"/>
      <c r="G6" s="34"/>
    </row>
    <row r="7" spans="1:7">
      <c r="A7" s="354"/>
      <c r="B7" s="8"/>
      <c r="C7" s="8"/>
      <c r="D7" s="211"/>
      <c r="E7" s="8"/>
      <c r="F7" s="8"/>
      <c r="G7" s="34"/>
    </row>
    <row r="8" spans="1:7">
      <c r="A8" s="354"/>
      <c r="B8" s="8"/>
      <c r="C8" s="8"/>
      <c r="D8" s="211"/>
      <c r="E8" s="8"/>
      <c r="F8" s="8"/>
      <c r="G8" s="34"/>
    </row>
    <row r="9" spans="1:7">
      <c r="A9" s="354"/>
      <c r="B9" s="357" t="s">
        <v>966</v>
      </c>
      <c r="C9" s="357"/>
      <c r="D9" s="357"/>
      <c r="E9" s="357"/>
      <c r="F9" s="357"/>
      <c r="G9" s="34"/>
    </row>
    <row r="10" spans="1:7" ht="27" customHeight="1">
      <c r="A10" s="354"/>
      <c r="B10" s="358" t="s">
        <v>506</v>
      </c>
      <c r="C10" s="358"/>
      <c r="D10" s="358"/>
      <c r="E10" s="358"/>
      <c r="F10" s="358"/>
      <c r="G10" s="34"/>
    </row>
    <row r="11" spans="1:7" ht="27" customHeight="1">
      <c r="A11" s="354"/>
      <c r="B11" s="359"/>
      <c r="C11" s="359"/>
      <c r="D11" s="359"/>
      <c r="E11" s="359"/>
      <c r="F11" s="359"/>
      <c r="G11" s="34"/>
    </row>
    <row r="12" spans="1:7" ht="16.5">
      <c r="A12" s="354"/>
      <c r="B12" s="42" t="s">
        <v>964</v>
      </c>
      <c r="C12" s="43" t="s">
        <v>967</v>
      </c>
      <c r="D12" s="212" t="s">
        <v>968</v>
      </c>
      <c r="E12" s="43" t="s">
        <v>701</v>
      </c>
      <c r="F12" s="43" t="s">
        <v>702</v>
      </c>
      <c r="G12" s="34"/>
    </row>
    <row r="13" spans="1:7" ht="33.75">
      <c r="A13" s="354"/>
      <c r="B13" s="2">
        <v>1</v>
      </c>
      <c r="C13" s="37" t="s">
        <v>1208</v>
      </c>
      <c r="D13" s="39" t="s">
        <v>992</v>
      </c>
      <c r="E13" s="196" t="s">
        <v>969</v>
      </c>
      <c r="F13" s="196"/>
      <c r="G13" s="34"/>
    </row>
    <row r="14" spans="1:7" ht="33.75">
      <c r="A14" s="354"/>
      <c r="B14" s="2">
        <v>2</v>
      </c>
      <c r="C14" s="37" t="s">
        <v>1208</v>
      </c>
      <c r="D14" s="39" t="s">
        <v>1142</v>
      </c>
      <c r="E14" s="196" t="s">
        <v>602</v>
      </c>
      <c r="F14" s="196" t="s">
        <v>603</v>
      </c>
      <c r="G14" s="34"/>
    </row>
    <row r="15" spans="1:7" ht="89.1" customHeight="1">
      <c r="A15" s="354"/>
      <c r="B15" s="360">
        <v>2.0099999999999998</v>
      </c>
      <c r="C15" s="351" t="s">
        <v>1208</v>
      </c>
      <c r="D15" s="363" t="s">
        <v>2686</v>
      </c>
      <c r="E15" s="197" t="s">
        <v>703</v>
      </c>
      <c r="F15" s="197" t="s">
        <v>706</v>
      </c>
      <c r="G15" s="34"/>
    </row>
    <row r="16" spans="1:7" ht="99" customHeight="1">
      <c r="A16" s="354"/>
      <c r="B16" s="361"/>
      <c r="C16" s="352"/>
      <c r="D16" s="364"/>
      <c r="E16" s="198"/>
      <c r="F16" s="198" t="s">
        <v>704</v>
      </c>
      <c r="G16" s="34"/>
    </row>
    <row r="17" spans="1:7" ht="63" customHeight="1">
      <c r="A17" s="354"/>
      <c r="B17" s="362"/>
      <c r="C17" s="353"/>
      <c r="D17" s="365"/>
      <c r="E17" s="37"/>
      <c r="F17" s="37" t="s">
        <v>705</v>
      </c>
      <c r="G17" s="34"/>
    </row>
    <row r="18" spans="1:7" ht="117" customHeight="1">
      <c r="A18" s="354"/>
      <c r="B18" s="360">
        <v>2.02</v>
      </c>
      <c r="C18" s="351" t="s">
        <v>1208</v>
      </c>
      <c r="D18" s="363" t="s">
        <v>2687</v>
      </c>
      <c r="E18" s="197" t="s">
        <v>507</v>
      </c>
      <c r="F18" s="197" t="s">
        <v>596</v>
      </c>
      <c r="G18" s="34"/>
    </row>
    <row r="19" spans="1:7" ht="71.099999999999994" customHeight="1">
      <c r="A19" s="354"/>
      <c r="B19" s="361"/>
      <c r="C19" s="352"/>
      <c r="D19" s="364"/>
      <c r="E19" s="198" t="s">
        <v>601</v>
      </c>
      <c r="F19" s="198" t="s">
        <v>508</v>
      </c>
      <c r="G19" s="34"/>
    </row>
    <row r="20" spans="1:7" ht="90.75" customHeight="1">
      <c r="A20" s="354"/>
      <c r="B20" s="361"/>
      <c r="C20" s="352"/>
      <c r="D20" s="364"/>
      <c r="E20" s="198"/>
      <c r="F20" s="198" t="s">
        <v>708</v>
      </c>
      <c r="G20" s="34"/>
    </row>
    <row r="21" spans="1:7" ht="74.25" customHeight="1">
      <c r="A21" s="354"/>
      <c r="B21" s="362"/>
      <c r="C21" s="353"/>
      <c r="D21" s="365"/>
      <c r="E21" s="37"/>
      <c r="F21" s="37" t="s">
        <v>707</v>
      </c>
      <c r="G21" s="34"/>
    </row>
    <row r="22" spans="1:7" ht="90" customHeight="1">
      <c r="A22" s="354"/>
      <c r="B22" s="369">
        <v>2.0299999999999998</v>
      </c>
      <c r="C22" s="369" t="s">
        <v>935</v>
      </c>
      <c r="D22" s="372" t="s">
        <v>2688</v>
      </c>
      <c r="E22" s="351" t="s">
        <v>505</v>
      </c>
      <c r="F22" s="197" t="s">
        <v>529</v>
      </c>
      <c r="G22" s="34"/>
    </row>
    <row r="23" spans="1:7" ht="109.5" customHeight="1">
      <c r="A23" s="354"/>
      <c r="B23" s="370"/>
      <c r="C23" s="370"/>
      <c r="D23" s="373"/>
      <c r="E23" s="352"/>
      <c r="F23" s="198" t="s">
        <v>936</v>
      </c>
      <c r="G23" s="34"/>
    </row>
    <row r="24" spans="1:7" ht="74.25" customHeight="1">
      <c r="A24" s="354"/>
      <c r="B24" s="371"/>
      <c r="C24" s="371"/>
      <c r="D24" s="374"/>
      <c r="E24" s="353"/>
      <c r="F24" s="37" t="s">
        <v>504</v>
      </c>
      <c r="G24" s="34"/>
    </row>
    <row r="25" spans="1:7" ht="72" customHeight="1">
      <c r="A25" s="354"/>
      <c r="B25" s="2" t="s">
        <v>527</v>
      </c>
      <c r="C25" s="37" t="s">
        <v>528</v>
      </c>
      <c r="D25" s="39" t="s">
        <v>2689</v>
      </c>
      <c r="E25" s="37" t="s">
        <v>2682</v>
      </c>
      <c r="F25" s="37" t="s">
        <v>530</v>
      </c>
      <c r="G25" s="34"/>
    </row>
    <row r="26" spans="1:7" ht="98.1" customHeight="1">
      <c r="A26" s="354"/>
      <c r="B26" s="366">
        <v>3</v>
      </c>
      <c r="C26" s="360" t="s">
        <v>74</v>
      </c>
      <c r="D26" s="363" t="s">
        <v>2690</v>
      </c>
      <c r="E26" s="351" t="s">
        <v>0</v>
      </c>
      <c r="F26" s="197" t="s">
        <v>68</v>
      </c>
      <c r="G26" s="34"/>
    </row>
    <row r="27" spans="1:7" ht="90" customHeight="1">
      <c r="A27" s="354"/>
      <c r="B27" s="367"/>
      <c r="C27" s="361"/>
      <c r="D27" s="364"/>
      <c r="E27" s="352"/>
      <c r="F27" s="198" t="s">
        <v>63</v>
      </c>
      <c r="G27" s="34"/>
    </row>
    <row r="28" spans="1:7" ht="19.350000000000001" customHeight="1">
      <c r="A28" s="354"/>
      <c r="B28" s="367"/>
      <c r="C28" s="361"/>
      <c r="D28" s="364"/>
      <c r="E28" s="352"/>
      <c r="F28" s="198" t="s">
        <v>64</v>
      </c>
      <c r="G28" s="34"/>
    </row>
    <row r="29" spans="1:7" ht="74.45" customHeight="1">
      <c r="A29" s="354"/>
      <c r="B29" s="367"/>
      <c r="C29" s="361"/>
      <c r="D29" s="364"/>
      <c r="E29" s="352"/>
      <c r="F29" s="198" t="s">
        <v>65</v>
      </c>
      <c r="G29" s="34"/>
    </row>
    <row r="30" spans="1:7" ht="62.45" customHeight="1">
      <c r="A30" s="354"/>
      <c r="B30" s="367"/>
      <c r="C30" s="361"/>
      <c r="D30" s="364"/>
      <c r="E30" s="352"/>
      <c r="F30" s="198" t="s">
        <v>66</v>
      </c>
      <c r="G30" s="34"/>
    </row>
    <row r="31" spans="1:7" ht="81" customHeight="1">
      <c r="A31" s="354"/>
      <c r="B31" s="367"/>
      <c r="C31" s="361"/>
      <c r="D31" s="364"/>
      <c r="E31" s="352"/>
      <c r="F31" s="198" t="s">
        <v>67</v>
      </c>
      <c r="G31" s="34"/>
    </row>
    <row r="32" spans="1:7" ht="48.75" customHeight="1">
      <c r="A32" s="354"/>
      <c r="B32" s="367"/>
      <c r="C32" s="361"/>
      <c r="D32" s="364"/>
      <c r="E32" s="352"/>
      <c r="F32" s="198" t="s">
        <v>70</v>
      </c>
      <c r="G32" s="34"/>
    </row>
    <row r="33" spans="1:7" ht="98.45" customHeight="1">
      <c r="A33" s="354"/>
      <c r="B33" s="367"/>
      <c r="C33" s="361"/>
      <c r="D33" s="364"/>
      <c r="E33" s="352"/>
      <c r="F33" s="198" t="s">
        <v>69</v>
      </c>
      <c r="G33" s="34"/>
    </row>
    <row r="34" spans="1:7" ht="89.1" customHeight="1">
      <c r="A34" s="354"/>
      <c r="B34" s="367"/>
      <c r="C34" s="361"/>
      <c r="D34" s="364"/>
      <c r="E34" s="352"/>
      <c r="F34" s="198" t="s">
        <v>71</v>
      </c>
      <c r="G34" s="34"/>
    </row>
    <row r="35" spans="1:7" ht="29.1" customHeight="1">
      <c r="A35" s="354"/>
      <c r="B35" s="367"/>
      <c r="C35" s="361"/>
      <c r="D35" s="364"/>
      <c r="E35" s="352"/>
      <c r="F35" s="198" t="s">
        <v>72</v>
      </c>
      <c r="G35" s="34"/>
    </row>
    <row r="36" spans="1:7" ht="126.75">
      <c r="A36" s="354"/>
      <c r="B36" s="368"/>
      <c r="C36" s="362"/>
      <c r="D36" s="365"/>
      <c r="E36" s="353"/>
      <c r="F36" s="199" t="s">
        <v>73</v>
      </c>
      <c r="G36" s="34"/>
    </row>
    <row r="37" spans="1:7" ht="123.75">
      <c r="A37" s="354"/>
      <c r="B37" s="175">
        <v>3.01</v>
      </c>
      <c r="C37" s="176" t="s">
        <v>74</v>
      </c>
      <c r="D37" s="39" t="s">
        <v>2691</v>
      </c>
      <c r="E37" s="200" t="s">
        <v>1458</v>
      </c>
      <c r="F37" s="201" t="s">
        <v>1577</v>
      </c>
      <c r="G37" s="34"/>
    </row>
    <row r="38" spans="1:7" ht="112.5">
      <c r="A38" s="354"/>
      <c r="B38" s="175">
        <v>3.02</v>
      </c>
      <c r="C38" s="176" t="s">
        <v>1492</v>
      </c>
      <c r="D38" s="39" t="s">
        <v>2692</v>
      </c>
      <c r="E38" s="200" t="s">
        <v>1507</v>
      </c>
      <c r="F38" s="201" t="s">
        <v>1578</v>
      </c>
      <c r="G38" s="34"/>
    </row>
    <row r="39" spans="1:7" ht="101.25">
      <c r="A39" s="354"/>
      <c r="B39" s="184">
        <v>4</v>
      </c>
      <c r="C39" s="183" t="s">
        <v>1757</v>
      </c>
      <c r="D39" s="39" t="s">
        <v>2693</v>
      </c>
      <c r="E39" s="37" t="s">
        <v>2625</v>
      </c>
      <c r="F39" s="37" t="s">
        <v>1758</v>
      </c>
      <c r="G39" s="34"/>
    </row>
    <row r="40" spans="1:7" ht="56.25">
      <c r="A40" s="354"/>
      <c r="B40" s="175">
        <v>4.01</v>
      </c>
      <c r="C40" s="183" t="s">
        <v>1757</v>
      </c>
      <c r="D40" s="39" t="s">
        <v>2695</v>
      </c>
      <c r="E40" s="37" t="s">
        <v>2644</v>
      </c>
      <c r="F40" s="37" t="s">
        <v>2649</v>
      </c>
      <c r="G40" s="34"/>
    </row>
    <row r="41" spans="1:7" ht="56.25">
      <c r="A41" s="354"/>
      <c r="B41" s="175" t="s">
        <v>2680</v>
      </c>
      <c r="C41" s="183" t="s">
        <v>1757</v>
      </c>
      <c r="D41" s="39" t="s">
        <v>2694</v>
      </c>
      <c r="E41" s="37" t="s">
        <v>2683</v>
      </c>
      <c r="F41" s="37" t="s">
        <v>2681</v>
      </c>
      <c r="G41" s="34"/>
    </row>
    <row r="42" spans="1:7" ht="56.25">
      <c r="A42" s="354"/>
      <c r="B42" s="175" t="s">
        <v>2732</v>
      </c>
      <c r="C42" s="183" t="s">
        <v>1757</v>
      </c>
      <c r="D42" s="39" t="s">
        <v>2903</v>
      </c>
      <c r="E42" s="37" t="s">
        <v>2682</v>
      </c>
      <c r="F42" s="37" t="s">
        <v>2733</v>
      </c>
      <c r="G42" s="34"/>
    </row>
    <row r="43" spans="1:7" ht="123.75">
      <c r="A43" s="354"/>
      <c r="B43" s="193">
        <v>4.0999999999999996</v>
      </c>
      <c r="C43" s="183" t="s">
        <v>2902</v>
      </c>
      <c r="D43" s="194">
        <v>42867</v>
      </c>
      <c r="E43" s="202" t="s">
        <v>2905</v>
      </c>
      <c r="F43" s="37" t="s">
        <v>2904</v>
      </c>
      <c r="G43" s="34"/>
    </row>
    <row r="44" spans="1:7" ht="78.75">
      <c r="A44" s="354"/>
      <c r="B44" s="193">
        <v>4.2</v>
      </c>
      <c r="C44" s="183" t="s">
        <v>2902</v>
      </c>
      <c r="D44" s="194">
        <v>42704</v>
      </c>
      <c r="E44" s="202" t="s">
        <v>3155</v>
      </c>
      <c r="F44" s="37" t="s">
        <v>3120</v>
      </c>
      <c r="G44" s="34"/>
    </row>
    <row r="45" spans="1:7" ht="157.5">
      <c r="A45" s="354"/>
      <c r="B45" s="241">
        <v>5</v>
      </c>
      <c r="C45" s="183" t="s">
        <v>2902</v>
      </c>
      <c r="D45" s="194">
        <v>42867</v>
      </c>
      <c r="E45" s="202" t="s">
        <v>13730</v>
      </c>
      <c r="F45" s="37" t="s">
        <v>13315</v>
      </c>
      <c r="G45" s="34"/>
    </row>
    <row r="46" spans="1:7" ht="45">
      <c r="A46" s="354"/>
      <c r="B46" s="193">
        <v>5.01</v>
      </c>
      <c r="C46" s="183" t="s">
        <v>2902</v>
      </c>
      <c r="D46" s="194">
        <v>42907</v>
      </c>
      <c r="E46" s="202" t="s">
        <v>13786</v>
      </c>
      <c r="F46" s="37" t="s">
        <v>13315</v>
      </c>
      <c r="G46" s="34"/>
    </row>
    <row r="47" spans="1:7" ht="67.5">
      <c r="A47" s="354"/>
      <c r="B47" s="193">
        <v>5.0999999999999996</v>
      </c>
      <c r="C47" s="183" t="s">
        <v>2902</v>
      </c>
      <c r="D47" s="194">
        <v>43070</v>
      </c>
      <c r="E47" s="202" t="s">
        <v>13985</v>
      </c>
      <c r="F47" s="37" t="s">
        <v>13986</v>
      </c>
      <c r="G47" s="34"/>
    </row>
    <row r="48" spans="1:7" ht="56.25">
      <c r="A48" s="354"/>
      <c r="B48" s="193">
        <v>5.1100000000000003</v>
      </c>
      <c r="C48" s="183" t="s">
        <v>14260</v>
      </c>
      <c r="D48" s="194">
        <v>43217</v>
      </c>
      <c r="E48" s="202" t="s">
        <v>14404</v>
      </c>
      <c r="F48" s="37" t="s">
        <v>14299</v>
      </c>
      <c r="G48" s="34"/>
    </row>
    <row r="49" spans="1:7" ht="56.25">
      <c r="A49" s="354"/>
      <c r="B49" s="193">
        <v>5.12</v>
      </c>
      <c r="C49" s="183" t="s">
        <v>14260</v>
      </c>
      <c r="D49" s="194">
        <v>43581</v>
      </c>
      <c r="E49" s="202" t="s">
        <v>14404</v>
      </c>
      <c r="F49" s="37" t="s">
        <v>15467</v>
      </c>
      <c r="G49" s="34"/>
    </row>
    <row r="50" spans="1:7" ht="13.5" thickBot="1">
      <c r="A50" s="355"/>
      <c r="B50" s="356" t="str">
        <f ca="1">OFFSET(L!$C$1,MATCH("General"&amp;"Cpy",L!$A:$A,0)-1,SL,,)</f>
        <v>© 2019 Responsible Minerals Initiative. All rights reserved.</v>
      </c>
      <c r="C50" s="356"/>
      <c r="D50" s="356"/>
      <c r="E50" s="356"/>
      <c r="F50" s="356"/>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5"/>
      <c r="B1" s="376"/>
      <c r="C1" s="376"/>
      <c r="D1" s="377"/>
    </row>
    <row r="2" spans="1:5" ht="71.25" customHeight="1">
      <c r="A2" s="90"/>
      <c r="B2" s="171" t="str">
        <f ca="1">OFFSET(L!$C$1,MATCH("Definitions"&amp;ADDRESS(ROW(),COLUMN(),4),L!$A:$A,0)-1,SL,,)</f>
        <v>ITEM</v>
      </c>
      <c r="C2" s="171" t="str">
        <f ca="1">OFFSET(L!$C$1,MATCH("Definitions"&amp;ADDRESS(ROW(),COLUMN(),4),L!$A:$A,0)-1,SL,,)</f>
        <v>DEFINITION</v>
      </c>
      <c r="D2" s="379"/>
      <c r="E2" s="131"/>
    </row>
    <row r="3" spans="1:5" ht="63.95" customHeight="1">
      <c r="A3" s="90"/>
      <c r="B3" s="77" t="str">
        <f ca="1">OFFSET(L!$C$1,MATCH("Definitions"&amp;ADDRESS(ROW(),COLUMN(),4),L!$A:$A,0)-1,SL,,)</f>
        <v>3TG</v>
      </c>
      <c r="C3" s="77" t="str">
        <f ca="1">OFFSET(L!$C$1,MATCH("Definitions"&amp;ADDRESS(ROW(),COLUMN(),4),L!$A:$A,0)-1,SL,,)</f>
        <v>Tantalum, tin, tungsten, gold</v>
      </c>
      <c r="D3" s="379"/>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9"/>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9"/>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9"/>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9"/>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9"/>
      <c r="E8" s="132" t="s">
        <v>1443</v>
      </c>
    </row>
    <row r="9" spans="1:5" ht="45">
      <c r="A9" s="90"/>
      <c r="B9" s="77" t="str">
        <f ca="1">OFFSET(L!$C$1,MATCH("Definitions"&amp;ADDRESS(ROW(),COLUMN(),4),L!$A:$A,0)-1,SL,,)</f>
        <v>DRC</v>
      </c>
      <c r="C9" s="77" t="str">
        <f ca="1">OFFSET(L!$C$1,MATCH("Definitions"&amp;ADDRESS(ROW(),COLUMN(),4),L!$A:$A,0)-1,SL,,)</f>
        <v>Democratic Republic of Congo</v>
      </c>
      <c r="D9" s="379"/>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9"/>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9"/>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9"/>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9"/>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9"/>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9"/>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9"/>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9"/>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9"/>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9"/>
      <c r="E19" s="132"/>
    </row>
    <row r="20" spans="1:5" ht="15">
      <c r="A20" s="90"/>
      <c r="B20" s="77" t="str">
        <f ca="1">OFFSET(L!$C$1,MATCH("Definitions"&amp;ADDRESS(ROW(),COLUMN(),4),L!$A:$A,0)-1,SL,,)</f>
        <v>RBA</v>
      </c>
      <c r="C20" s="77" t="str">
        <f ca="1">OFFSET(L!$C$1,MATCH("Definitions"&amp;ADDRESS(ROW(),COLUMN(),4),L!$A:$A,0)-1,SL,,)</f>
        <v>Responsible Business Alliance (www.responsiblebusiness.org)</v>
      </c>
      <c r="D20" s="379"/>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9"/>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9"/>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9"/>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9"/>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9"/>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9"/>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9"/>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9"/>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9"/>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9"/>
      <c r="E30" s="132"/>
    </row>
    <row r="31" spans="1:5" ht="15">
      <c r="A31" s="90"/>
      <c r="B31" s="378" t="str">
        <f ca="1">OFFSET(L!$C$1,MATCH("General"&amp;"Cpy",L!$A:$A,0)-1,SL,,)</f>
        <v>© 2019 Responsible Minerals Initiative. All rights reserved.</v>
      </c>
      <c r="C31" s="378"/>
      <c r="D31" s="379"/>
      <c r="E31" s="132"/>
    </row>
    <row r="32" spans="1:5" ht="13.5" thickBot="1">
      <c r="A32" s="91"/>
      <c r="B32" s="187"/>
      <c r="C32" s="187"/>
      <c r="D32" s="380"/>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90" zoomScaleNormal="90"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8" t="str">
        <f ca="1">OFFSET(L!$C$1,MATCH("Declaration"&amp;ADDRESS(ROW(),COLUMN(),4),L!$A:$A,0)-1,SL,,)</f>
        <v>Conflict Minerals Reporting Template (CMRT)</v>
      </c>
      <c r="E2" s="419"/>
      <c r="F2" s="419"/>
      <c r="G2" s="419"/>
      <c r="H2" s="419"/>
      <c r="I2" s="419"/>
      <c r="J2" s="420"/>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8"/>
      <c r="G3" s="428"/>
      <c r="H3" s="428"/>
      <c r="I3" s="186"/>
      <c r="J3" s="172" t="s">
        <v>15472</v>
      </c>
      <c r="K3" s="47"/>
      <c r="L3" s="143"/>
      <c r="M3" s="134"/>
      <c r="N3" s="134"/>
      <c r="O3" s="135"/>
      <c r="P3" s="148">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3" t="str">
        <f ca="1">OFFSET(L!$C$1,MATCH("Declaration"&amp;ADDRESS(ROW(),COLUMN(),4),L!$A:$A,0)-1,SL,,)</f>
        <v>Company Information</v>
      </c>
      <c r="C7" s="433"/>
      <c r="D7" s="433"/>
      <c r="E7" s="433"/>
      <c r="F7" s="433"/>
      <c r="G7" s="433"/>
      <c r="H7" s="433"/>
      <c r="I7" s="433"/>
      <c r="J7" s="433"/>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21" t="s">
        <v>15510</v>
      </c>
      <c r="E8" s="422"/>
      <c r="F8" s="422"/>
      <c r="G8" s="422"/>
      <c r="H8" s="422"/>
      <c r="I8" s="422"/>
      <c r="J8" s="423"/>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30" t="s">
        <v>564</v>
      </c>
      <c r="E9" s="431"/>
      <c r="F9" s="431"/>
      <c r="G9" s="432"/>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5"/>
      <c r="D10" s="425"/>
      <c r="E10" s="426"/>
      <c r="F10" s="426"/>
      <c r="G10" s="426"/>
      <c r="H10" s="426"/>
      <c r="I10" s="426"/>
      <c r="J10" s="427"/>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5"/>
      <c r="C11" s="155"/>
      <c r="D11" s="396" t="str">
        <f ca="1">IF(D9=Q9,OFFSET(L!$C$1,MATCH("Declaration"&amp;ADDRESS(ROW(),COLUMN(),4),L!$A:$A,0)-1,SL,,),"")</f>
        <v/>
      </c>
      <c r="E11" s="397"/>
      <c r="F11" s="397"/>
      <c r="G11" s="397"/>
      <c r="H11" s="397"/>
      <c r="I11" s="397"/>
      <c r="J11" s="398"/>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8" t="s">
        <v>15507</v>
      </c>
      <c r="E12" s="409"/>
      <c r="F12" s="409"/>
      <c r="G12" s="409"/>
      <c r="H12" s="409"/>
      <c r="I12" s="409"/>
      <c r="J12" s="410"/>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5" t="s">
        <v>15506</v>
      </c>
      <c r="E13" s="406"/>
      <c r="F13" s="406"/>
      <c r="G13" s="406"/>
      <c r="H13" s="406"/>
      <c r="I13" s="406"/>
      <c r="J13" s="40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ustomHeight="1">
      <c r="A14" s="49"/>
      <c r="B14" s="51" t="str">
        <f ca="1">OFFSET(L!$C$1,MATCH("Declaration"&amp;ADDRESS(ROW(),COLUMN(),4),L!$A:$A,0)-1,SL,,)</f>
        <v>Address:</v>
      </c>
      <c r="C14" s="93"/>
      <c r="D14" s="381" t="s">
        <v>15508</v>
      </c>
      <c r="E14" s="451"/>
      <c r="F14" s="451"/>
      <c r="G14" s="451"/>
      <c r="H14" s="451"/>
      <c r="I14" s="451"/>
      <c r="J14" s="382"/>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90" t="s">
        <v>15494</v>
      </c>
      <c r="E15" s="452"/>
      <c r="F15" s="452"/>
      <c r="G15" s="452"/>
      <c r="H15" s="452"/>
      <c r="I15" s="452"/>
      <c r="J15" s="391"/>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3"/>
      <c r="D16" s="454" t="s">
        <v>15509</v>
      </c>
      <c r="E16" s="406"/>
      <c r="F16" s="406"/>
      <c r="G16" s="406"/>
      <c r="H16" s="406"/>
      <c r="I16" s="406"/>
      <c r="J16" s="407"/>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90" t="s">
        <v>15495</v>
      </c>
      <c r="E17" s="452"/>
      <c r="F17" s="452"/>
      <c r="G17" s="452"/>
      <c r="H17" s="452"/>
      <c r="I17" s="452"/>
      <c r="J17" s="391"/>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90" t="s">
        <v>15494</v>
      </c>
      <c r="E18" s="452"/>
      <c r="F18" s="452"/>
      <c r="G18" s="452"/>
      <c r="H18" s="452"/>
      <c r="I18" s="452"/>
      <c r="J18" s="391"/>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ustomHeight="1">
      <c r="A19" s="49"/>
      <c r="B19" s="51" t="str">
        <f ca="1">OFFSET(L!$C$1,MATCH("Declaration"&amp;ADDRESS(ROW(),COLUMN(),4),L!$A:$A,0)-1,SL,,)</f>
        <v>Title - Authorizer:</v>
      </c>
      <c r="C19" s="93"/>
      <c r="D19" s="390" t="s">
        <v>15496</v>
      </c>
      <c r="E19" s="452"/>
      <c r="F19" s="452"/>
      <c r="G19" s="452"/>
      <c r="H19" s="452"/>
      <c r="I19" s="452"/>
      <c r="J19" s="391"/>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3"/>
      <c r="D20" s="453" t="s">
        <v>15509</v>
      </c>
      <c r="E20" s="426"/>
      <c r="F20" s="426"/>
      <c r="G20" s="426"/>
      <c r="H20" s="426"/>
      <c r="I20" s="426"/>
      <c r="J20" s="427"/>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90" t="s">
        <v>15495</v>
      </c>
      <c r="E21" s="452"/>
      <c r="F21" s="452"/>
      <c r="G21" s="452"/>
      <c r="H21" s="452"/>
      <c r="I21" s="452"/>
      <c r="J21" s="391"/>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6">
        <v>43634</v>
      </c>
      <c r="E22" s="437"/>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11"/>
      <c r="E23" s="411"/>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1 - 7 based on the declaration scope indicated above</v>
      </c>
      <c r="C24" s="438"/>
      <c r="D24" s="438"/>
      <c r="E24" s="438"/>
      <c r="F24" s="438"/>
      <c r="G24" s="438"/>
      <c r="H24" s="438"/>
      <c r="I24" s="438"/>
      <c r="J24" s="438"/>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1" t="s">
        <v>559</v>
      </c>
      <c r="E26" s="382"/>
      <c r="F26" s="15"/>
      <c r="G26" s="383"/>
      <c r="H26" s="384"/>
      <c r="I26" s="384"/>
      <c r="J26" s="385"/>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1" t="s">
        <v>559</v>
      </c>
      <c r="E27" s="382"/>
      <c r="F27" s="15"/>
      <c r="G27" s="383"/>
      <c r="H27" s="384"/>
      <c r="I27" s="384"/>
      <c r="J27" s="385"/>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1" t="s">
        <v>559</v>
      </c>
      <c r="E28" s="382"/>
      <c r="F28" s="15"/>
      <c r="G28" s="383"/>
      <c r="H28" s="384"/>
      <c r="I28" s="384"/>
      <c r="J28" s="385"/>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1" t="s">
        <v>558</v>
      </c>
      <c r="E29" s="382"/>
      <c r="F29" s="15"/>
      <c r="G29" s="383"/>
      <c r="H29" s="384"/>
      <c r="I29" s="384"/>
      <c r="J29" s="385"/>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1" t="str">
        <f ca="1">D25</f>
        <v>Answer</v>
      </c>
      <c r="E31" s="401"/>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9"/>
      <c r="E32" s="400"/>
      <c r="F32" s="58"/>
      <c r="G32" s="383"/>
      <c r="H32" s="384"/>
      <c r="I32" s="384"/>
      <c r="J32" s="385"/>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1"/>
      <c r="E33" s="382"/>
      <c r="F33" s="58"/>
      <c r="G33" s="383"/>
      <c r="H33" s="384"/>
      <c r="I33" s="384"/>
      <c r="J33" s="385"/>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1"/>
      <c r="E34" s="382"/>
      <c r="F34" s="58"/>
      <c r="G34" s="383"/>
      <c r="H34" s="384"/>
      <c r="I34" s="384"/>
      <c r="J34" s="385"/>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1" t="s">
        <v>558</v>
      </c>
      <c r="E35" s="382"/>
      <c r="F35" s="58"/>
      <c r="G35" s="383"/>
      <c r="H35" s="384"/>
      <c r="I35" s="384"/>
      <c r="J35" s="385"/>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1" t="str">
        <f ca="1">D25</f>
        <v>Answer</v>
      </c>
      <c r="E37" s="401"/>
      <c r="F37" s="21"/>
      <c r="G37" s="55" t="str">
        <f ca="1">G25</f>
        <v>Comments</v>
      </c>
      <c r="H37" s="404"/>
      <c r="I37" s="404"/>
      <c r="J37" s="404"/>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1"/>
      <c r="E38" s="382"/>
      <c r="F38" s="58"/>
      <c r="G38" s="383"/>
      <c r="H38" s="384"/>
      <c r="I38" s="384"/>
      <c r="J38" s="385"/>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1"/>
      <c r="E39" s="382"/>
      <c r="F39" s="58"/>
      <c r="G39" s="383"/>
      <c r="H39" s="384"/>
      <c r="I39" s="384"/>
      <c r="J39" s="385"/>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1"/>
      <c r="E40" s="382"/>
      <c r="F40" s="58"/>
      <c r="G40" s="383"/>
      <c r="H40" s="384"/>
      <c r="I40" s="384"/>
      <c r="J40" s="385"/>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1" t="s">
        <v>559</v>
      </c>
      <c r="E41" s="382"/>
      <c r="F41" s="58"/>
      <c r="G41" s="383"/>
      <c r="H41" s="384"/>
      <c r="I41" s="384"/>
      <c r="J41" s="385"/>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1" t="str">
        <f ca="1">D25</f>
        <v>Answer</v>
      </c>
      <c r="E43" s="401"/>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81"/>
      <c r="E44" s="382"/>
      <c r="F44" s="58"/>
      <c r="G44" s="383"/>
      <c r="H44" s="384"/>
      <c r="I44" s="384"/>
      <c r="J44" s="385"/>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81"/>
      <c r="E45" s="382"/>
      <c r="F45" s="58"/>
      <c r="G45" s="383"/>
      <c r="H45" s="384"/>
      <c r="I45" s="384"/>
      <c r="J45" s="385"/>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81"/>
      <c r="E46" s="382"/>
      <c r="F46" s="58"/>
      <c r="G46" s="383"/>
      <c r="H46" s="384"/>
      <c r="I46" s="384"/>
      <c r="J46" s="385"/>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1" t="s">
        <v>559</v>
      </c>
      <c r="E47" s="382"/>
      <c r="F47" s="58"/>
      <c r="G47" s="383"/>
      <c r="H47" s="384"/>
      <c r="I47" s="384"/>
      <c r="J47" s="385"/>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01" t="str">
        <f ca="1">D25</f>
        <v>Answer</v>
      </c>
      <c r="E49" s="401"/>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402"/>
      <c r="E50" s="403"/>
      <c r="F50" s="58"/>
      <c r="G50" s="383"/>
      <c r="H50" s="384"/>
      <c r="I50" s="384"/>
      <c r="J50" s="385"/>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402"/>
      <c r="E51" s="403"/>
      <c r="F51" s="58"/>
      <c r="G51" s="383"/>
      <c r="H51" s="384"/>
      <c r="I51" s="384"/>
      <c r="J51" s="385"/>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402"/>
      <c r="E52" s="403"/>
      <c r="F52" s="58"/>
      <c r="G52" s="383"/>
      <c r="H52" s="384"/>
      <c r="I52" s="384"/>
      <c r="J52" s="385"/>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402">
        <v>1</v>
      </c>
      <c r="E53" s="403"/>
      <c r="F53" s="58"/>
      <c r="G53" s="383"/>
      <c r="H53" s="384"/>
      <c r="I53" s="384"/>
      <c r="J53" s="385"/>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01" t="str">
        <f ca="1">D25</f>
        <v>Answer</v>
      </c>
      <c r="E55" s="401"/>
      <c r="F55" s="21"/>
      <c r="G55" s="55" t="str">
        <f ca="1">G25</f>
        <v>Comments</v>
      </c>
      <c r="H55" s="394"/>
      <c r="I55" s="394"/>
      <c r="J55" s="394"/>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9"/>
      <c r="E56" s="400"/>
      <c r="F56" s="58"/>
      <c r="G56" s="383"/>
      <c r="H56" s="384"/>
      <c r="I56" s="384"/>
      <c r="J56" s="385"/>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81"/>
      <c r="E57" s="382"/>
      <c r="F57" s="58"/>
      <c r="G57" s="383"/>
      <c r="H57" s="384"/>
      <c r="I57" s="384"/>
      <c r="J57" s="385"/>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81"/>
      <c r="E58" s="382"/>
      <c r="F58" s="58"/>
      <c r="G58" s="383"/>
      <c r="H58" s="384"/>
      <c r="I58" s="384"/>
      <c r="J58" s="385"/>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1" t="s">
        <v>558</v>
      </c>
      <c r="E59" s="382"/>
      <c r="F59" s="58"/>
      <c r="G59" s="383"/>
      <c r="H59" s="384"/>
      <c r="I59" s="384"/>
      <c r="J59" s="385"/>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01" t="str">
        <f ca="1">D25</f>
        <v>Answer</v>
      </c>
      <c r="E61" s="401"/>
      <c r="F61" s="21"/>
      <c r="G61" s="55" t="str">
        <f ca="1">G25</f>
        <v>Comments</v>
      </c>
      <c r="H61" s="394" t="str">
        <f>IF(Q69="(*)","Click here to enter smelter names","")</f>
        <v/>
      </c>
      <c r="I61" s="394"/>
      <c r="J61" s="394"/>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81"/>
      <c r="E62" s="382"/>
      <c r="F62" s="59"/>
      <c r="G62" s="383"/>
      <c r="H62" s="384"/>
      <c r="I62" s="384"/>
      <c r="J62" s="385"/>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81"/>
      <c r="E63" s="382"/>
      <c r="F63" s="59"/>
      <c r="G63" s="383"/>
      <c r="H63" s="384"/>
      <c r="I63" s="384"/>
      <c r="J63" s="385"/>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81"/>
      <c r="E64" s="382"/>
      <c r="F64" s="59"/>
      <c r="G64" s="383"/>
      <c r="H64" s="384"/>
      <c r="I64" s="384"/>
      <c r="J64" s="385"/>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1" t="s">
        <v>558</v>
      </c>
      <c r="E65" s="382"/>
      <c r="F65" s="61"/>
      <c r="G65" s="383"/>
      <c r="H65" s="384"/>
      <c r="I65" s="384"/>
      <c r="J65" s="385"/>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6" t="str">
        <f ca="1">OFFSET(L!$C$1,MATCH("Declaration"&amp;ADDRESS(ROW(),COLUMN(),4),L!$A:$A,0)-1,SL,,)</f>
        <v>Answer the Following Questions at a Company Level</v>
      </c>
      <c r="C67" s="386"/>
      <c r="D67" s="386"/>
      <c r="E67" s="386"/>
      <c r="F67" s="386"/>
      <c r="G67" s="386"/>
      <c r="H67" s="386"/>
      <c r="I67" s="386"/>
      <c r="J67" s="386"/>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5" t="str">
        <f ca="1">D25</f>
        <v>Answer</v>
      </c>
      <c r="E68" s="395"/>
      <c r="F68" s="64"/>
      <c r="G68" s="395" t="str">
        <f ca="1">G25</f>
        <v>Comments</v>
      </c>
      <c r="H68" s="395" t="e">
        <f>HLOOKUP(SL,LT,$O68,0)</f>
        <v>#NAME?</v>
      </c>
      <c r="I68" s="395"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1" t="s">
        <v>558</v>
      </c>
      <c r="E69" s="382"/>
      <c r="F69" s="68"/>
      <c r="G69" s="383"/>
      <c r="H69" s="384"/>
      <c r="I69" s="384"/>
      <c r="J69" s="385"/>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2"/>
      <c r="H70" s="392"/>
      <c r="I70" s="392"/>
      <c r="J70" s="392"/>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1" t="s">
        <v>558</v>
      </c>
      <c r="E71" s="382"/>
      <c r="F71" s="68"/>
      <c r="G71" s="412" t="s">
        <v>15497</v>
      </c>
      <c r="H71" s="413"/>
      <c r="I71" s="413"/>
      <c r="J71" s="414"/>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1" t="s">
        <v>558</v>
      </c>
      <c r="E73" s="382"/>
      <c r="F73" s="68"/>
      <c r="G73" s="383"/>
      <c r="H73" s="384"/>
      <c r="I73" s="384"/>
      <c r="J73" s="385"/>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1" t="s">
        <v>558</v>
      </c>
      <c r="E75" s="382"/>
      <c r="F75" s="68"/>
      <c r="G75" s="383"/>
      <c r="H75" s="384"/>
      <c r="I75" s="384"/>
      <c r="J75" s="385"/>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1" t="s">
        <v>558</v>
      </c>
      <c r="E77" s="382"/>
      <c r="F77" s="68"/>
      <c r="G77" s="383"/>
      <c r="H77" s="384"/>
      <c r="I77" s="384"/>
      <c r="J77" s="385"/>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0" t="s">
        <v>13311</v>
      </c>
      <c r="E79" s="391"/>
      <c r="F79" s="68"/>
      <c r="G79" s="383"/>
      <c r="H79" s="384"/>
      <c r="I79" s="384"/>
      <c r="J79" s="385"/>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2"/>
      <c r="H80" s="392"/>
      <c r="I80" s="392"/>
      <c r="J80" s="392"/>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1" t="s">
        <v>558</v>
      </c>
      <c r="E81" s="382"/>
      <c r="F81" s="68"/>
      <c r="G81" s="383"/>
      <c r="H81" s="384"/>
      <c r="I81" s="384"/>
      <c r="J81" s="385"/>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3"/>
      <c r="H82" s="393"/>
      <c r="I82" s="393"/>
      <c r="J82" s="39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1" t="s">
        <v>558</v>
      </c>
      <c r="E83" s="382"/>
      <c r="F83" s="68"/>
      <c r="G83" s="383"/>
      <c r="H83" s="384"/>
      <c r="I83" s="384"/>
      <c r="J83" s="385"/>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1" t="s">
        <v>558</v>
      </c>
      <c r="E85" s="382"/>
      <c r="F85" s="68"/>
      <c r="G85" s="383"/>
      <c r="H85" s="384"/>
      <c r="I85" s="384"/>
      <c r="J85" s="385"/>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9" t="str">
        <f>IF(OR($D$8="",$I$3=""),"","Click here to check required fields completion")</f>
        <v/>
      </c>
      <c r="C86" s="389"/>
      <c r="D86" s="389"/>
      <c r="E86" s="389"/>
      <c r="F86" s="389"/>
      <c r="G86" s="389"/>
      <c r="H86" s="389"/>
      <c r="I86" s="389"/>
      <c r="J86" s="389"/>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7" t="str">
        <f ca="1">OFFSET(L!$C$1,MATCH("General"&amp;"Cpy",L!$A:$A,0)-1,SL,,)</f>
        <v>© 2019 Responsible Minerals Initiative. All rights reserved.</v>
      </c>
      <c r="B87" s="388"/>
      <c r="C87" s="388"/>
      <c r="D87" s="388"/>
      <c r="E87" s="388"/>
      <c r="F87" s="388"/>
      <c r="G87" s="388"/>
      <c r="H87" s="388"/>
      <c r="I87" s="388"/>
      <c r="J87" s="388"/>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37" priority="84" stopIfTrue="1">
      <formula>AND(OR($D$26="No",AND($D$26="Yes",$D$32="No")),OR($D$27="No",AND($D$27="Yes",$D$33="No")), OR($D$28="No",AND($D$28="Yes",$D$34="No")), OR($D$29="No",AND($D$29="Yes",$D$35="No")))</formula>
    </cfRule>
    <cfRule type="expression" dxfId="136" priority="85" stopIfTrue="1">
      <formula>IF(D69="",TRUE)</formula>
    </cfRule>
  </conditionalFormatting>
  <conditionalFormatting sqref="D26:E26">
    <cfRule type="expression" dxfId="135" priority="136" stopIfTrue="1">
      <formula>IF($D$26="",TRUE)</formula>
    </cfRule>
  </conditionalFormatting>
  <conditionalFormatting sqref="D27:E27">
    <cfRule type="expression" dxfId="134" priority="143" stopIfTrue="1">
      <formula>IF($D$27="",TRUE)</formula>
    </cfRule>
  </conditionalFormatting>
  <conditionalFormatting sqref="D28:E28">
    <cfRule type="expression" dxfId="133" priority="144" stopIfTrue="1">
      <formula>IF($D$28="",TRUE)</formula>
    </cfRule>
  </conditionalFormatting>
  <conditionalFormatting sqref="D29:E29">
    <cfRule type="expression" dxfId="132" priority="145" stopIfTrue="1">
      <formula>IF($D$29="",TRUE)</formula>
    </cfRule>
  </conditionalFormatting>
  <conditionalFormatting sqref="D8:J8">
    <cfRule type="expression" dxfId="131" priority="150" stopIfTrue="1">
      <formula>IF($D$8="",TRUE)</formula>
    </cfRule>
  </conditionalFormatting>
  <conditionalFormatting sqref="D9:G9">
    <cfRule type="expression" dxfId="130" priority="151" stopIfTrue="1">
      <formula>IF($D$9="",TRUE)</formula>
    </cfRule>
  </conditionalFormatting>
  <conditionalFormatting sqref="D22:E22">
    <cfRule type="expression" dxfId="129" priority="158" stopIfTrue="1">
      <formula>IF($D$22="",TRUE)</formula>
    </cfRule>
  </conditionalFormatting>
  <conditionalFormatting sqref="D10:J10">
    <cfRule type="expression" dxfId="128" priority="55" stopIfTrue="1">
      <formula>IF($D$9=$Q$9,TRUE)</formula>
    </cfRule>
    <cfRule type="expression" dxfId="127" priority="165" stopIfTrue="1">
      <formula>IF(AND($D$10="",$D$9=$R$9),TRUE)</formula>
    </cfRule>
  </conditionalFormatting>
  <conditionalFormatting sqref="D34:E34 D40:E40 D46:E46 D52:E52 D58:E58 D64:E64">
    <cfRule type="expression" dxfId="126" priority="48" stopIfTrue="1">
      <formula>$P$28=""</formula>
    </cfRule>
  </conditionalFormatting>
  <conditionalFormatting sqref="D35:E35 D41:E41 D47:E47 D53:E53 D59:E59 D65:E65">
    <cfRule type="expression" dxfId="125" priority="163" stopIfTrue="1">
      <formula>$P$29=""</formula>
    </cfRule>
  </conditionalFormatting>
  <conditionalFormatting sqref="D32:E32">
    <cfRule type="expression" dxfId="124" priority="141" stopIfTrue="1">
      <formula>$P$26=""</formula>
    </cfRule>
  </conditionalFormatting>
  <conditionalFormatting sqref="D32:E32">
    <cfRule type="expression" dxfId="123" priority="54" stopIfTrue="1">
      <formula>IF(AND(OR($D$26="Yes",$D$26=""),$D$32=""),1,0)</formula>
    </cfRule>
  </conditionalFormatting>
  <conditionalFormatting sqref="D38 D44 D50 D56 D62">
    <cfRule type="expression" dxfId="122" priority="50" stopIfTrue="1">
      <formula>$P$32=""</formula>
    </cfRule>
  </conditionalFormatting>
  <conditionalFormatting sqref="D39:E39 D45 D51 D57 D63">
    <cfRule type="expression" dxfId="121" priority="49" stopIfTrue="1">
      <formula>$P$33=""</formula>
    </cfRule>
  </conditionalFormatting>
  <conditionalFormatting sqref="D40 D46 D52 D58 D64">
    <cfRule type="expression" dxfId="120" priority="39" stopIfTrue="1">
      <formula>$P$34=""</formula>
    </cfRule>
    <cfRule type="expression" dxfId="119" priority="161" stopIfTrue="1">
      <formula>IF(AND(OR($D$28="Yes",$D$28=""),D40=""),1,0)</formula>
    </cfRule>
  </conditionalFormatting>
  <conditionalFormatting sqref="D41 D47 D53 D59 D65">
    <cfRule type="expression" dxfId="118" priority="47" stopIfTrue="1">
      <formula>$P$35=""</formula>
    </cfRule>
  </conditionalFormatting>
  <conditionalFormatting sqref="D38:E38 D44:E44 D50:E50 D56:E56 D62:E62">
    <cfRule type="expression" dxfId="117" priority="52" stopIfTrue="1">
      <formula>$P$26=""</formula>
    </cfRule>
    <cfRule type="expression" dxfId="116" priority="53" stopIfTrue="1">
      <formula>IF(AND(OR($D$26="Yes",$D$26=""),D38=""),1,0)</formula>
    </cfRule>
  </conditionalFormatting>
  <conditionalFormatting sqref="G79:J79">
    <cfRule type="expression" dxfId="115" priority="46" stopIfTrue="1">
      <formula>IF(AND($D$79="Yes, using other format (describe)",$G$79=""),TRUE)</formula>
    </cfRule>
  </conditionalFormatting>
  <conditionalFormatting sqref="D39:E39 D45:E45 D51:E51 D57:E57 D63:E63">
    <cfRule type="expression" dxfId="114" priority="159" stopIfTrue="1">
      <formula>$P$39=""</formula>
    </cfRule>
    <cfRule type="expression" dxfId="113" priority="160" stopIfTrue="1">
      <formula>IF(AND(OR($D$27="Yes",$D$27=""),D39=""),1,0)</formula>
    </cfRule>
  </conditionalFormatting>
  <conditionalFormatting sqref="D33:E33">
    <cfRule type="expression" dxfId="112" priority="41" stopIfTrue="1">
      <formula>IF(AND(OR($D$27="Yes",$D$27=""),$D$33=""),1,0)</formula>
    </cfRule>
    <cfRule type="expression" dxfId="111" priority="42" stopIfTrue="1">
      <formula>$P$27=""</formula>
    </cfRule>
  </conditionalFormatting>
  <conditionalFormatting sqref="D34:E34">
    <cfRule type="expression" dxfId="110" priority="162" stopIfTrue="1">
      <formula>IF(AND(OR($D$28="Yes",$D$28=""),$D$34=""),1,0)</formula>
    </cfRule>
  </conditionalFormatting>
  <conditionalFormatting sqref="D41:E41 D47:E47 D53:E53 D59:E59 D65:E65">
    <cfRule type="expression" dxfId="109" priority="164" stopIfTrue="1">
      <formula>IF(AND(OR($D$29="Yes",$D$29=""),D41=""),1,0)</formula>
    </cfRule>
  </conditionalFormatting>
  <conditionalFormatting sqref="D35:E35">
    <cfRule type="expression" dxfId="108" priority="38" stopIfTrue="1">
      <formula>IF(AND(OR($D$29="Yes",$D$29=""),$D$35=""),1,0)</formula>
    </cfRule>
  </conditionalFormatting>
  <conditionalFormatting sqref="G71:J71">
    <cfRule type="expression" dxfId="101" priority="27" stopIfTrue="1">
      <formula>IF(AND($D$71="Yes",$G$71=""),TRUE)</formula>
    </cfRule>
  </conditionalFormatting>
  <conditionalFormatting sqref="D15:J15">
    <cfRule type="expression" dxfId="51" priority="26" stopIfTrue="1">
      <formula>IF($D$15="",TRUE)</formula>
    </cfRule>
  </conditionalFormatting>
  <conditionalFormatting sqref="D15:J15">
    <cfRule type="expression" dxfId="49" priority="25" stopIfTrue="1">
      <formula>IF($D$15="",TRUE)</formula>
    </cfRule>
  </conditionalFormatting>
  <conditionalFormatting sqref="D15:J15">
    <cfRule type="expression" dxfId="47" priority="24" stopIfTrue="1">
      <formula>IF($D$15="",TRUE)</formula>
    </cfRule>
  </conditionalFormatting>
  <conditionalFormatting sqref="D15:J15">
    <cfRule type="expression" dxfId="45" priority="23" stopIfTrue="1">
      <formula>IF($D$15="",TRUE)</formula>
    </cfRule>
  </conditionalFormatting>
  <conditionalFormatting sqref="D16:J16">
    <cfRule type="expression" dxfId="43" priority="22" stopIfTrue="1">
      <formula>IF($D$16="",TRUE)</formula>
    </cfRule>
  </conditionalFormatting>
  <conditionalFormatting sqref="D16:J16">
    <cfRule type="expression" dxfId="41" priority="21" stopIfTrue="1">
      <formula>IF($D$16="",TRUE)</formula>
    </cfRule>
  </conditionalFormatting>
  <conditionalFormatting sqref="D16:J16">
    <cfRule type="expression" dxfId="39" priority="20" stopIfTrue="1">
      <formula>IF($D$16="",TRUE)</formula>
    </cfRule>
  </conditionalFormatting>
  <conditionalFormatting sqref="D16:J16">
    <cfRule type="expression" dxfId="37" priority="19" stopIfTrue="1">
      <formula>IF($D$16="",TRUE)</formula>
    </cfRule>
  </conditionalFormatting>
  <conditionalFormatting sqref="D17:J17">
    <cfRule type="expression" dxfId="35" priority="18" stopIfTrue="1">
      <formula>IF($D$17="",TRUE)</formula>
    </cfRule>
  </conditionalFormatting>
  <conditionalFormatting sqref="D17:J17">
    <cfRule type="expression" dxfId="33" priority="17" stopIfTrue="1">
      <formula>IF($D$17="",TRUE)</formula>
    </cfRule>
  </conditionalFormatting>
  <conditionalFormatting sqref="D17:J17">
    <cfRule type="expression" dxfId="31" priority="16" stopIfTrue="1">
      <formula>IF($D$17="",TRUE)</formula>
    </cfRule>
  </conditionalFormatting>
  <conditionalFormatting sqref="D17:J17">
    <cfRule type="expression" dxfId="29" priority="15" stopIfTrue="1">
      <formula>IF($D$17="",TRUE)</formula>
    </cfRule>
  </conditionalFormatting>
  <conditionalFormatting sqref="D18:J18">
    <cfRule type="expression" dxfId="27" priority="14" stopIfTrue="1">
      <formula>IF($D$18="",TRUE)</formula>
    </cfRule>
  </conditionalFormatting>
  <conditionalFormatting sqref="D18:J18">
    <cfRule type="expression" dxfId="25" priority="13" stopIfTrue="1">
      <formula>IF($D$18="",TRUE)</formula>
    </cfRule>
  </conditionalFormatting>
  <conditionalFormatting sqref="D18:J18">
    <cfRule type="expression" dxfId="23" priority="12" stopIfTrue="1">
      <formula>IF($D$18="",TRUE)</formula>
    </cfRule>
  </conditionalFormatting>
  <conditionalFormatting sqref="D18:J18">
    <cfRule type="expression" dxfId="21" priority="11" stopIfTrue="1">
      <formula>IF($D$18="",TRUE)</formula>
    </cfRule>
  </conditionalFormatting>
  <conditionalFormatting sqref="D18:J18">
    <cfRule type="expression" dxfId="19" priority="10" stopIfTrue="1">
      <formula>IF($D$18="",TRUE)</formula>
    </cfRule>
  </conditionalFormatting>
  <conditionalFormatting sqref="D20:J20">
    <cfRule type="expression" dxfId="17" priority="9" stopIfTrue="1">
      <formula>IF($D$20="",TRUE)</formula>
    </cfRule>
  </conditionalFormatting>
  <conditionalFormatting sqref="D20:J20">
    <cfRule type="expression" dxfId="15" priority="8" stopIfTrue="1">
      <formula>IF($D$20="",TRUE)</formula>
    </cfRule>
  </conditionalFormatting>
  <conditionalFormatting sqref="D20:J20">
    <cfRule type="expression" dxfId="13" priority="7" stopIfTrue="1">
      <formula>IF($D$20="",TRUE)</formula>
    </cfRule>
  </conditionalFormatting>
  <conditionalFormatting sqref="D20:J20">
    <cfRule type="expression" dxfId="11" priority="6" stopIfTrue="1">
      <formula>IF($D$20="",TRUE)</formula>
    </cfRule>
  </conditionalFormatting>
  <conditionalFormatting sqref="D20:J20">
    <cfRule type="expression" dxfId="9" priority="5" stopIfTrue="1">
      <formula>IF($D$20="",TRUE)</formula>
    </cfRule>
  </conditionalFormatting>
  <conditionalFormatting sqref="D21:J21">
    <cfRule type="expression" dxfId="7" priority="4" stopIfTrue="1">
      <formula>IF($D$17="",TRUE)</formula>
    </cfRule>
  </conditionalFormatting>
  <conditionalFormatting sqref="D21:J21">
    <cfRule type="expression" dxfId="5" priority="3" stopIfTrue="1">
      <formula>IF($D$17="",TRUE)</formula>
    </cfRule>
  </conditionalFormatting>
  <conditionalFormatting sqref="D21:J21">
    <cfRule type="expression" dxfId="3" priority="2" stopIfTrue="1">
      <formula>IF($D$17="",TRUE)</formula>
    </cfRule>
  </conditionalFormatting>
  <conditionalFormatting sqref="D21:J21">
    <cfRule type="expression" dxfId="1" priority="1" stopIfTrue="1">
      <formula>IF($D$17="",TRUE)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20" r:id="rId3"/>
    <hyperlink ref="D16"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70" zoomScaleNormal="70" zoomScalePageLayoutView="55" workbookViewId="0">
      <selection activeCell="C15" sqref="C15"/>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9" t="str">
        <f ca="1">OFFSET(L!$C$1,MATCH("Smelter List"&amp;ADDRESS(ROW(),COLUMN(),4),L!$A:$A,0)-1,SL,,)</f>
        <v>Link to "RMAP Conformant Smelter List"</v>
      </c>
      <c r="K2" s="440"/>
      <c r="L2" s="440"/>
      <c r="M2" s="440"/>
      <c r="N2" s="440"/>
      <c r="O2" s="440"/>
      <c r="P2" s="232"/>
      <c r="Q2" s="233"/>
      <c r="R2" s="234"/>
      <c r="S2" s="234"/>
      <c r="T2" s="234"/>
      <c r="U2" s="261"/>
      <c r="V2" s="261"/>
      <c r="W2" s="262"/>
      <c r="X2" s="261"/>
      <c r="Y2" s="261"/>
      <c r="Z2" s="261"/>
      <c r="AH2" s="178" t="s">
        <v>558</v>
      </c>
    </row>
    <row r="3" spans="1:34" s="263" customFormat="1" ht="255.6"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64"/>
      <c r="G3" s="442" t="str">
        <f ca="1">OFFSET(L!$C$1,MATCH("General"&amp;"Cpy",L!$A:$A,0)-1,SL,,)</f>
        <v>© 2019 Responsible Minerals Initiative. All rights reserved.</v>
      </c>
      <c r="H3" s="442"/>
      <c r="I3" s="443"/>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63.75">
      <c r="A5" s="216" t="s">
        <v>913</v>
      </c>
      <c r="B5" s="216" t="str">
        <f ca="1">IF(LEN(A5)=0,"",INDEX('Smelter Look-up'!$A:$A,MATCH($A5,'Smelter Look-up'!$E:$E,0)))</f>
        <v>Tungsten</v>
      </c>
      <c r="C5" s="220" t="str">
        <f ca="1">IF(LEN(A5)=0,"",INDEX('Smelter Look-up'!$C:$C,MATCH($A5,'Smelter Look-up'!$E:$E,0)))</f>
        <v>Xiamen Tungsten Co., Ltd.</v>
      </c>
      <c r="D5" s="220" t="s">
        <v>1515</v>
      </c>
      <c r="E5" s="216" t="str">
        <f ca="1">IF(ISERROR($V5),"",OFFSET('Smelter Look-up'!$D$4,$V5-4,0)&amp;"")</f>
        <v>CHINA</v>
      </c>
      <c r="F5" s="216" t="str">
        <f ca="1">IF(ISERROR($V5),"",OFFSET('Smelter Look-up'!$E$4,$V5-4,0))</f>
        <v>CID002082</v>
      </c>
      <c r="G5" s="216" t="str">
        <f ca="1">IF(C5=$X$4,"Enter smelter details", IF(ISERROR($V5),"",OFFSET('Smelter Look-up'!$F$4,$V5-4,0)))</f>
        <v>RMI</v>
      </c>
      <c r="H5" s="217" t="s">
        <v>15498</v>
      </c>
      <c r="I5" s="218" t="str">
        <f ca="1">IF(ISERROR($V5),"",OFFSET('Smelter Look-up'!$H$4,$V5-4,0))</f>
        <v>Xiamen</v>
      </c>
      <c r="J5" s="218" t="str">
        <f ca="1">IF(ISERROR($V5),"",OFFSET('Smelter Look-up'!$I$4,$V5-4,0))</f>
        <v>Fujian Sheng</v>
      </c>
      <c r="K5" s="347" t="s">
        <v>15500</v>
      </c>
      <c r="L5" s="347" t="s">
        <v>15501</v>
      </c>
      <c r="M5" s="347" t="s">
        <v>2985</v>
      </c>
      <c r="N5" s="347" t="s">
        <v>2985</v>
      </c>
      <c r="O5" s="347" t="s">
        <v>2985</v>
      </c>
      <c r="P5" s="219" t="s">
        <v>559</v>
      </c>
      <c r="Q5" s="348" t="s">
        <v>15502</v>
      </c>
      <c r="R5" s="216" t="str">
        <f ca="1">IF(ISERROR($V5),"",OFFSET('Smelter Look-up'!$C$4,$V5-4,0)&amp;"")</f>
        <v>Xiamen Tungsten Co., Ltd.</v>
      </c>
      <c r="S5" s="224" t="str">
        <f t="shared" ref="S5:S68" ca="1" si="0">IF(B5="","",IF(ISERROR(MATCH($E5,CL,0)),"Unknown",INDIRECT("'C'!$A$"&amp;MATCH($E5,CL,0)+1)))</f>
        <v>CN</v>
      </c>
      <c r="T5" s="224" t="str">
        <f ca="1">IF(B5="","",IF(ISERROR(MATCH($J5,SorP!$B$1:$B$6230,0)),"",INDIRECT("'SorP'!$A$"&amp;MATCH($J5,SorP!$B$1:$B$6230,0))))</f>
        <v>CN-FJ</v>
      </c>
      <c r="U5" s="239"/>
      <c r="V5" s="269">
        <f ca="1">IF(C5="",NA(),MATCH($B5&amp;$C5,'Smelter Look-up'!$J:$J,0))</f>
        <v>582</v>
      </c>
      <c r="W5" s="270"/>
      <c r="X5" s="270">
        <f t="shared" ref="X5:X68" ca="1" si="1">IF(AND(C5="Smelter not listed",OR(LEN(D5)=0,LEN(E5)=0)),1,0)</f>
        <v>0</v>
      </c>
      <c r="Y5" s="270"/>
      <c r="Z5" s="270"/>
      <c r="AB5" s="272" t="str">
        <f t="shared" ref="AB5:AB68" ca="1" si="2">B5&amp;C5</f>
        <v>TungstenXiamen Tungsten Co., Ltd.</v>
      </c>
    </row>
    <row r="6" spans="1:34" s="271" customFormat="1" ht="76.5">
      <c r="A6" s="215" t="s">
        <v>905</v>
      </c>
      <c r="B6" s="216" t="str">
        <f ca="1">IF(LEN(A6)=0,"",INDEX('Smelter Look-up'!$A:$A,MATCH($A6,'Smelter Look-up'!$E:$E,0)))</f>
        <v>Tungsten</v>
      </c>
      <c r="C6" s="220" t="str">
        <f ca="1">IF(LEN(A6)=0,"",INDEX('Smelter Look-up'!$C:$C,MATCH($A6,'Smelter Look-up'!$E:$E,0)))</f>
        <v>Global Tungsten &amp; Powders Corp.</v>
      </c>
      <c r="D6" s="220" t="s">
        <v>1</v>
      </c>
      <c r="E6" s="216" t="str">
        <f ca="1">IF(ISERROR($V6),"",OFFSET('Smelter Look-up'!$D$4,$V6-4,0)&amp;"")</f>
        <v>UNITED STATES OF AMERICA</v>
      </c>
      <c r="F6" s="216" t="str">
        <f ca="1">IF(ISERROR($V6),"",OFFSET('Smelter Look-up'!$E$4,$V6-4,0))</f>
        <v>CID000568</v>
      </c>
      <c r="G6" s="216" t="str">
        <f ca="1">IF(C6=$X$4,"Enter smelter details", IF(ISERROR($V6),"",OFFSET('Smelter Look-up'!$F$4,$V6-4,0)))</f>
        <v>RMI</v>
      </c>
      <c r="H6" s="217" t="s">
        <v>15499</v>
      </c>
      <c r="I6" s="218" t="str">
        <f ca="1">IF(ISERROR($V6),"",OFFSET('Smelter Look-up'!$H$4,$V6-4,0))</f>
        <v>Towanda</v>
      </c>
      <c r="J6" s="218" t="str">
        <f ca="1">IF(ISERROR($V6),"",OFFSET('Smelter Look-up'!$I$4,$V6-4,0))</f>
        <v>Pennsylvania</v>
      </c>
      <c r="K6" s="347" t="s">
        <v>15503</v>
      </c>
      <c r="L6" s="347" t="s">
        <v>15504</v>
      </c>
      <c r="M6" s="347" t="s">
        <v>2985</v>
      </c>
      <c r="N6" s="347" t="s">
        <v>15505</v>
      </c>
      <c r="O6" s="347" t="s">
        <v>15505</v>
      </c>
      <c r="P6" s="219" t="s">
        <v>559</v>
      </c>
      <c r="Q6" s="348" t="s">
        <v>15502</v>
      </c>
      <c r="R6" s="216" t="str">
        <f ca="1">IF(ISERROR($V6),"",OFFSET('Smelter Look-up'!$C$4,$V6-4,0)&amp;"")</f>
        <v>Global Tungsten &amp; Powders Corp.</v>
      </c>
      <c r="S6" s="224" t="str">
        <f t="shared" ca="1" si="0"/>
        <v>US</v>
      </c>
      <c r="T6" s="224" t="str">
        <f ca="1">IF(B6="","",IF(ISERROR(MATCH($J6,SorP!$B$1:$B$6230,0)),"",INDIRECT("'SorP'!$A$"&amp;MATCH($J6,SorP!$B$1:$B$6230,0))))</f>
        <v>US-PA</v>
      </c>
      <c r="U6" s="239"/>
      <c r="V6" s="269">
        <f ca="1">IF(C6="",NA(),MATCH($B6&amp;$C6,'Smelter Look-up'!$J:$J,0))</f>
        <v>537</v>
      </c>
      <c r="W6" s="270"/>
      <c r="X6" s="270">
        <f t="shared" ca="1" si="1"/>
        <v>0</v>
      </c>
      <c r="Y6" s="270"/>
      <c r="Z6" s="270"/>
      <c r="AB6" s="272" t="str">
        <f t="shared" ca="1" si="2"/>
        <v>TungstenGlobal Tungsten &amp; Powders Corp.</v>
      </c>
    </row>
    <row r="7" spans="1:34" s="271" customFormat="1" ht="20.25">
      <c r="A7" s="215"/>
      <c r="B7" s="216"/>
      <c r="C7" s="220"/>
      <c r="D7" s="220"/>
      <c r="E7" s="216"/>
      <c r="F7" s="216"/>
      <c r="G7" s="216"/>
      <c r="H7" s="217"/>
      <c r="I7" s="218"/>
      <c r="J7" s="218"/>
      <c r="K7" s="347"/>
      <c r="L7" s="219"/>
      <c r="M7" s="349"/>
      <c r="N7" s="349"/>
      <c r="O7" s="219"/>
      <c r="P7" s="348"/>
      <c r="Q7" s="348"/>
      <c r="R7" s="216"/>
      <c r="S7" s="224"/>
      <c r="T7" s="224"/>
      <c r="U7" s="239"/>
      <c r="V7" s="269"/>
      <c r="W7" s="270"/>
      <c r="X7" s="270"/>
      <c r="Y7" s="270"/>
      <c r="Z7" s="270"/>
      <c r="AB7" s="272"/>
    </row>
    <row r="8" spans="1:34" s="271" customFormat="1" ht="20.25">
      <c r="A8" s="215"/>
      <c r="B8" s="216"/>
      <c r="C8" s="220"/>
      <c r="D8" s="220"/>
      <c r="E8" s="216"/>
      <c r="F8" s="216"/>
      <c r="G8" s="216"/>
      <c r="H8" s="217"/>
      <c r="I8" s="218"/>
      <c r="J8" s="218"/>
      <c r="K8" s="347"/>
      <c r="L8" s="219"/>
      <c r="M8" s="350"/>
      <c r="N8" s="350"/>
      <c r="O8" s="219"/>
      <c r="P8" s="348"/>
      <c r="Q8" s="348"/>
      <c r="R8" s="216"/>
      <c r="S8" s="224"/>
      <c r="T8" s="224"/>
      <c r="U8" s="239"/>
      <c r="V8" s="269"/>
      <c r="W8" s="270"/>
      <c r="X8" s="270"/>
      <c r="Y8" s="270"/>
      <c r="Z8" s="270"/>
      <c r="AB8" s="272"/>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100" priority="33" stopIfTrue="1">
      <formula>IF(B586="",TRUE)</formula>
    </cfRule>
    <cfRule type="expression" dxfId="99" priority="44" stopIfTrue="1">
      <formula>IF(AND(COUNTIF(MetalSmelter,B586&amp;C586)=0,LEN(C586)&gt;0), TRUE, FALSE)</formula>
    </cfRule>
  </conditionalFormatting>
  <conditionalFormatting sqref="D586:D2493">
    <cfRule type="expression" dxfId="98" priority="27" stopIfTrue="1">
      <formula>IF(AND(LEN($C586) &gt;0, ($C586 &lt;&gt; "Smelter Not Listed")),1,0)</formula>
    </cfRule>
    <cfRule type="expression" dxfId="97" priority="52" stopIfTrue="1">
      <formula>IF(AND(D586="",$C586=$X$4),TRUE)</formula>
    </cfRule>
    <cfRule type="expression" dxfId="96" priority="53" stopIfTrue="1">
      <formula>IF(FIND("!",D586),TRUE)</formula>
    </cfRule>
  </conditionalFormatting>
  <conditionalFormatting sqref="G586:G2493">
    <cfRule type="expression" dxfId="95" priority="54" stopIfTrue="1">
      <formula>IF(FIND("Enter smelter details",G586),TRUE)</formula>
    </cfRule>
  </conditionalFormatting>
  <conditionalFormatting sqref="R586:R2494 E586:E2493">
    <cfRule type="expression" dxfId="94" priority="40" stopIfTrue="1">
      <formula>IF(AND(E586="",$C586=$X$4),TRUE)</formula>
    </cfRule>
    <cfRule type="expression" dxfId="93" priority="41" stopIfTrue="1">
      <formula>IF(FIND("!",E586),TRUE)</formula>
    </cfRule>
  </conditionalFormatting>
  <conditionalFormatting sqref="F586:F2493">
    <cfRule type="expression" dxfId="92" priority="31" stopIfTrue="1">
      <formula>IF(AND(LEN($A586)&gt;0,$A586&lt;&gt;$F586),TRUE,FALSE)</formula>
    </cfRule>
  </conditionalFormatting>
  <conditionalFormatting sqref="C586:C2493">
    <cfRule type="expression" dxfId="91" priority="30" stopIfTrue="1">
      <formula>IF(AND(B586&lt;&gt;"",C586=""),TRUE)</formula>
    </cfRule>
  </conditionalFormatting>
  <conditionalFormatting sqref="B5:B585">
    <cfRule type="expression" dxfId="90" priority="9" stopIfTrue="1">
      <formula>IF(B5="",TRUE)</formula>
    </cfRule>
    <cfRule type="expression" dxfId="89" priority="12" stopIfTrue="1">
      <formula>IF(AND(COUNTIF(MetalSmelter,B5&amp;C5)=0,LEN(C5)&gt;0), TRUE, FALSE)</formula>
    </cfRule>
  </conditionalFormatting>
  <conditionalFormatting sqref="D9:D585">
    <cfRule type="expression" dxfId="88" priority="6" stopIfTrue="1">
      <formula>IF(AND(LEN($C9) &gt;0, ($C9 &lt;&gt; "Smelter Not Listed")),1,0)</formula>
    </cfRule>
    <cfRule type="expression" dxfId="87" priority="13" stopIfTrue="1">
      <formula>IF(AND(D9="",$C9=$X$4),TRUE)</formula>
    </cfRule>
    <cfRule type="expression" dxfId="86" priority="14" stopIfTrue="1">
      <formula>IF(FIND("!",D9),TRUE)</formula>
    </cfRule>
  </conditionalFormatting>
  <conditionalFormatting sqref="G5:G585">
    <cfRule type="expression" dxfId="85" priority="15" stopIfTrue="1">
      <formula>IF(FIND("Enter smelter details",G5),TRUE)</formula>
    </cfRule>
  </conditionalFormatting>
  <conditionalFormatting sqref="R5:R585 E5:E585">
    <cfRule type="expression" dxfId="84" priority="10" stopIfTrue="1">
      <formula>IF(AND(E5="",$C5=$X$4),TRUE)</formula>
    </cfRule>
    <cfRule type="expression" dxfId="83" priority="11" stopIfTrue="1">
      <formula>IF(FIND("!",E5),TRUE)</formula>
    </cfRule>
  </conditionalFormatting>
  <conditionalFormatting sqref="F5:F585">
    <cfRule type="expression" dxfId="82" priority="8" stopIfTrue="1">
      <formula>IF(AND(LEN($A5)&gt;0,$A5&lt;&gt;$F5),TRUE,FALSE)</formula>
    </cfRule>
  </conditionalFormatting>
  <conditionalFormatting sqref="C5:C585">
    <cfRule type="expression" dxfId="81" priority="7" stopIfTrue="1">
      <formula>IF(AND(B5&lt;&gt;"",C5=""),TRUE)</formula>
    </cfRule>
  </conditionalFormatting>
  <conditionalFormatting sqref="A5">
    <cfRule type="expression" dxfId="80" priority="5" stopIfTrue="1">
      <formula>IF(AND(LEN($A5)&gt;0,$A5&lt;&gt;$F5),TRUE,FALSE)</formula>
    </cfRule>
  </conditionalFormatting>
  <conditionalFormatting sqref="D5">
    <cfRule type="expression" dxfId="79" priority="4" stopIfTrue="1">
      <formula>IF(AND(C5&lt;&gt;"",D5=""),TRUE)</formula>
    </cfRule>
  </conditionalFormatting>
  <conditionalFormatting sqref="D6">
    <cfRule type="expression" dxfId="78" priority="3" stopIfTrue="1">
      <formula>IF(AND(C6&lt;&gt;"",D6=""),TRUE)</formula>
    </cfRule>
  </conditionalFormatting>
  <conditionalFormatting sqref="D7">
    <cfRule type="expression" dxfId="77" priority="2" stopIfTrue="1">
      <formula>IF(AND(C7&lt;&gt;"",D7=""),TRUE)</formula>
    </cfRule>
  </conditionalFormatting>
  <conditionalFormatting sqref="D8">
    <cfRule type="expression" dxfId="76" priority="1" stopIfTrue="1">
      <formula>IF(AND(C8&lt;&gt;"",D8=""),TRUE)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8.25">
      <c r="A4" s="106" t="str">
        <f ca="1">Declaration!B8</f>
        <v>Company Name (*):</v>
      </c>
      <c r="B4" s="105" t="str">
        <f>Declaration!D8</f>
        <v>TowerJazz  Semiconductor LTD.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8.25">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8.25">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8.25">
      <c r="A7" s="106" t="str">
        <f ca="1">Declaration!B15</f>
        <v>Contact Name (*):</v>
      </c>
      <c r="B7" s="105" t="str">
        <f>Declaration!D15</f>
        <v>Moti Amsalem</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8.25">
      <c r="A8" s="106" t="str">
        <f ca="1">Declaration!B16</f>
        <v>Email – Contact (*):</v>
      </c>
      <c r="B8" s="105" t="str">
        <f>Declaration!D16</f>
        <v xml:space="preserve">cammmh@towersemi.com </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8.25">
      <c r="A9" s="106" t="str">
        <f ca="1">Declaration!B17</f>
        <v>Phone – Contact (*):</v>
      </c>
      <c r="B9" s="105" t="str">
        <f>Declaration!D17</f>
        <v>972-4-6506259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8.25">
      <c r="A10" s="106" t="str">
        <f ca="1">Declaration!B18</f>
        <v>Authorizer (*):</v>
      </c>
      <c r="B10" s="105" t="str">
        <f>Declaration!D18</f>
        <v>Moti Amsalem</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8.25">
      <c r="A11" s="106" t="str">
        <f ca="1">Declaration!B20</f>
        <v>Email - Authorizer (*):</v>
      </c>
      <c r="B11" s="105" t="str">
        <f>Declaration!D20</f>
        <v xml:space="preserve">cammmh@towersemi.com </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8.25">
      <c r="A12" s="106" t="str">
        <f ca="1">Declaration!B21</f>
        <v>Phone - Authorizer (*):</v>
      </c>
      <c r="B12" s="105" t="str">
        <f>Declaration!D21</f>
        <v>972-4-6506259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8.25">
      <c r="A13" s="106" t="str">
        <f ca="1">Declaration!B22</f>
        <v>Effective Date (*):</v>
      </c>
      <c r="B13" s="107">
        <f>Declaration!D22</f>
        <v>43634</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5.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8.25">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8.25">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8.25">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8.25">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8.25">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8.25">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8.25">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8.25">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8.25">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8.25">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8.25">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8.25">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8.25">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8.25">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8.25">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5.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5.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5.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5.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8.25">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8.25">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8.25">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8.25">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8.25">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www.towerjazz.com</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8.25">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8.25">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8.25">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25" hidden="1">
      <c r="A57" s="105"/>
      <c r="B57" s="105"/>
      <c r="C57" s="105"/>
      <c r="D57" s="111"/>
      <c r="E57" s="87"/>
      <c r="F57" s="110"/>
      <c r="G57" s="84"/>
      <c r="H57" s="85"/>
      <c r="I57" s="181"/>
    </row>
    <row r="58" spans="1:12" ht="38.25">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8.25">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8.25">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8.25">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8.25">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List'!AB$5:AB$2493,"Tantalum?*")&gt;0),0,1)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8.25">
      <c r="A63" s="105" t="s">
        <v>2117</v>
      </c>
      <c r="B63" s="105"/>
      <c r="C63" s="105" t="str">
        <f>IF(K63=1,L63,IF(B16="No","Not Required",IF(G63=0,I63,J63)))</f>
        <v>Not Required</v>
      </c>
      <c r="D63" s="111" t="str">
        <f ca="1">IF(H63=0,"","Click here to provide smelter information")</f>
        <v/>
      </c>
      <c r="E63" s="87" t="s">
        <v>918</v>
      </c>
      <c r="F63" s="110">
        <f>F26</f>
        <v>0</v>
      </c>
      <c r="G63" s="84">
        <f ca="1">IF(AND(COUNTIF(SmelterIdetifiedForMetal,"Tin")&gt;0,COUNTIF('Smelter List'!AB$5:AB$2493,"Tin?*")&gt;0),0,1)</f>
        <v>1</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8.25">
      <c r="A64" s="105" t="s">
        <v>2118</v>
      </c>
      <c r="B64" s="105"/>
      <c r="C64" s="105" t="str">
        <f>IF(K64=1,L64,IF(B17="No","Not Required",IF(G64=0,I64,J64)))</f>
        <v>Not Required</v>
      </c>
      <c r="D64" s="111" t="str">
        <f ca="1">IF(H64=0,"","Click here to provide smelter information")</f>
        <v/>
      </c>
      <c r="E64" s="87" t="s">
        <v>918</v>
      </c>
      <c r="F64" s="110">
        <f>F27</f>
        <v>0</v>
      </c>
      <c r="G64" s="84">
        <f ca="1">IF(AND(COUNTIF(SmelterIdetifiedForMetal,"Gold")&gt;0,COUNTIF('Smelter List'!AB$5:AB$2493,"Gold?*")&gt;0),0,1)</f>
        <v>1</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8.25">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75" priority="337" stopIfTrue="1">
      <formula>IF(F62=0,TRUE)</formula>
    </cfRule>
  </conditionalFormatting>
  <conditionalFormatting sqref="A5:A13">
    <cfRule type="expression" dxfId="74" priority="45" stopIfTrue="1">
      <formula>$F5=0</formula>
    </cfRule>
    <cfRule type="expression" dxfId="73" priority="46" stopIfTrue="1">
      <formula>AND($F5=1,$G5=0)</formula>
    </cfRule>
    <cfRule type="expression" dxfId="72" priority="47" stopIfTrue="1">
      <formula>AND($F5&lt;&gt;0,$G5&lt;&gt;0)</formula>
    </cfRule>
  </conditionalFormatting>
  <conditionalFormatting sqref="B61">
    <cfRule type="expression" dxfId="71" priority="43" stopIfTrue="1">
      <formula>$F61=0</formula>
    </cfRule>
  </conditionalFormatting>
  <conditionalFormatting sqref="D52">
    <cfRule type="expression" dxfId="70" priority="354" stopIfTrue="1">
      <formula>$H$52=0</formula>
    </cfRule>
  </conditionalFormatting>
  <conditionalFormatting sqref="B63">
    <cfRule type="expression" dxfId="69" priority="35" stopIfTrue="1">
      <formula>IF(F63=0,TRUE)</formula>
    </cfRule>
  </conditionalFormatting>
  <conditionalFormatting sqref="B64">
    <cfRule type="expression" dxfId="68" priority="31" stopIfTrue="1">
      <formula>IF(F64=0,TRUE)</formula>
    </cfRule>
  </conditionalFormatting>
  <conditionalFormatting sqref="B65:B66">
    <cfRule type="expression" dxfId="67" priority="27" stopIfTrue="1">
      <formula>IF(F65=0,TRUE)</formula>
    </cfRule>
  </conditionalFormatting>
  <conditionalFormatting sqref="C66">
    <cfRule type="expression" dxfId="66" priority="9" stopIfTrue="1">
      <formula>C66="Not Required"</formula>
    </cfRule>
    <cfRule type="expression" dxfId="65" priority="17" stopIfTrue="1">
      <formula>OR(C66="Complete",C66="填写", C66="記入",C66="완료",C66="Complétez",C66="Concluído",C66="Vollständig",C66="Completare",C66="Doldurun")</formula>
    </cfRule>
  </conditionalFormatting>
  <conditionalFormatting sqref="A66">
    <cfRule type="expression" dxfId="64" priority="10" stopIfTrue="1">
      <formula>C66="Not Required"</formula>
    </cfRule>
    <cfRule type="expression" dxfId="63"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62" priority="343" stopIfTrue="1">
      <formula>$F4=0</formula>
    </cfRule>
    <cfRule type="expression" dxfId="61" priority="344" stopIfTrue="1">
      <formula>$H4=0</formula>
    </cfRule>
    <cfRule type="expression" dxfId="60" priority="345" stopIfTrue="1">
      <formula>$H4=1</formula>
    </cfRule>
  </conditionalFormatting>
  <conditionalFormatting sqref="C66 A66">
    <cfRule type="expression" dxfId="59" priority="7" stopIfTrue="1">
      <formula>IF(AND($F$66=1,$G$66=1),TRUE,FALSE)</formula>
    </cfRule>
  </conditionalFormatting>
  <conditionalFormatting sqref="A62:A65">
    <cfRule type="expression" dxfId="58" priority="4" stopIfTrue="1">
      <formula>$F62=0</formula>
    </cfRule>
    <cfRule type="expression" dxfId="57" priority="5" stopIfTrue="1">
      <formula>$H62=0</formula>
    </cfRule>
    <cfRule type="expression" dxfId="56" priority="6" stopIfTrue="1">
      <formula>$H62=1</formula>
    </cfRule>
  </conditionalFormatting>
  <conditionalFormatting sqref="C62:C65">
    <cfRule type="expression" dxfId="55" priority="1" stopIfTrue="1">
      <formula>$F62=0</formula>
    </cfRule>
    <cfRule type="expression" dxfId="54" priority="2" stopIfTrue="1">
      <formula>$H62=0</formula>
    </cfRule>
    <cfRule type="expression" dxfId="53"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9"/>
    </row>
    <row r="2" spans="1:6">
      <c r="A2" s="29"/>
      <c r="B2" s="151"/>
      <c r="C2" s="151"/>
      <c r="D2"/>
      <c r="E2" s="30"/>
    </row>
    <row r="3" spans="1:6">
      <c r="A3" s="29"/>
      <c r="B3" s="151"/>
      <c r="C3" s="151"/>
      <c r="D3" s="151"/>
      <c r="E3" s="30"/>
    </row>
    <row r="4" spans="1:6" ht="15.75" customHeight="1">
      <c r="A4" s="29"/>
      <c r="B4" s="445" t="s">
        <v>1014</v>
      </c>
      <c r="C4" s="445"/>
      <c r="D4" s="445"/>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8" t="str">
        <f ca="1">OFFSET(L!$C$1,MATCH("General"&amp;"Cpy",L!$A:$A,0)-1,SL,,)</f>
        <v>© 2019 Responsible Minerals Initiative. All rights reserved.</v>
      </c>
      <c r="C1001" s="448"/>
      <c r="D1001" s="448"/>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52"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2.7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8.5">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48.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48.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1.2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7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14">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48.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14">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56.5">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13.7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1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5.5">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99.7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75.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2.7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2.7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28.2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57">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42.75">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2.7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42.75">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5">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2.7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5">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8.5">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7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Amsalem Moti</cp:lastModifiedBy>
  <cp:lastPrinted>2015-04-21T20:47:43Z</cp:lastPrinted>
  <dcterms:created xsi:type="dcterms:W3CDTF">2010-06-21T21:00:23Z</dcterms:created>
  <dcterms:modified xsi:type="dcterms:W3CDTF">2019-06-18T07:58:04Z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