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cammmh\Desktop\cmr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7" i="5" l="1"/>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6" i="5" l="1"/>
  <c r="B5" i="5"/>
  <c r="C5" i="5"/>
  <c r="B6" i="5"/>
  <c r="B32" i="6"/>
  <c r="G32" i="6" s="1"/>
  <c r="C12" i="6"/>
  <c r="C11" i="6"/>
  <c r="C8" i="6"/>
  <c r="C10" i="6"/>
  <c r="C9"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46" i="6" s="1"/>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31" i="6"/>
  <c r="F41" i="6"/>
  <c r="F51" i="6"/>
  <c r="H51" i="6" s="1"/>
  <c r="D51" i="6" s="1"/>
  <c r="J2479" i="5"/>
  <c r="I2479" i="5"/>
  <c r="E2479" i="5"/>
  <c r="X2479" i="5" s="1"/>
  <c r="R2479" i="5"/>
  <c r="H2479" i="5"/>
  <c r="G2479" i="5"/>
  <c r="F2479" i="5"/>
  <c r="F45" i="6"/>
  <c r="F66" i="6"/>
  <c r="F50" i="6"/>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6" i="5" l="1"/>
  <c r="V5" i="5"/>
  <c r="G5" i="5" s="1"/>
  <c r="AB5" i="5"/>
  <c r="G68" i="6" s="1"/>
  <c r="H68" i="6" s="1"/>
  <c r="D68" i="6" s="1"/>
  <c r="V6" i="5"/>
  <c r="G6" i="5" s="1"/>
  <c r="H42" i="6"/>
  <c r="D42" i="6" s="1"/>
  <c r="H52" i="6"/>
  <c r="D52" i="6" s="1"/>
  <c r="F36" i="6"/>
  <c r="H36" i="6" s="1"/>
  <c r="D36" i="6" s="1"/>
  <c r="F67" i="6"/>
  <c r="H26" i="6"/>
  <c r="H41" i="6"/>
  <c r="D41" i="6" s="1"/>
  <c r="H45" i="6"/>
  <c r="D45" i="6" s="1"/>
  <c r="H50" i="6"/>
  <c r="D5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0" i="6"/>
  <c r="C44" i="6"/>
  <c r="R6" i="5" l="1"/>
  <c r="F6" i="5"/>
  <c r="I6" i="5"/>
  <c r="J6" i="5"/>
  <c r="E6" i="5"/>
  <c r="J5" i="5"/>
  <c r="I5" i="5"/>
  <c r="F5" i="5"/>
  <c r="R5" i="5"/>
  <c r="E5" i="5"/>
  <c r="C52"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T5" i="5"/>
  <c r="T6" i="5"/>
  <c r="X5" i="5" l="1"/>
  <c r="X6" i="5"/>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 r="S6" i="5"/>
  <c r="S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<sst xmlns="http://schemas.openxmlformats.org/spreadsheetml/2006/main" count="21821" uniqueCount="15524">
  <si>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</si>
  <si>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</si>
  <si>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</si>
  <si>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</si>
  <si>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</si>
  <si>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</si>
  <si>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</si>
  <si>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</si>
  <si>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</si>
  <si>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</si>
  <si>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</si>
  <si>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</si>
  <si>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</si>
  <si>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</si>
  <si>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</si>
  <si>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</si>
  <si>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</si>
  <si>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</si>
  <si>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</si>
  <si>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</si>
  <si>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</si>
  <si>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</si>
  <si>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</si>
  <si>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</si>
  <si>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</si>
  <si>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</si>
  <si>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</si>
  <si>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</si>
  <si>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</si>
  <si>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</si>
  <si>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</si>
  <si>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</si>
  <si>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</si>
  <si>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</si>
  <si>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</si>
  <si>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</si>
  <si>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</si>
  <si>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</si>
  <si>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</si>
  <si>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</si>
  <si>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</si>
  <si>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</si>
  <si>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</si>
  <si>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</si>
  <si>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</si>
  <si>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</si>
  <si>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</si>
  <si>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</si>
  <si>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</si>
  <si>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</si>
  <si>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</si>
  <si>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</si>
  <si>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</si>
  <si>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</si>
  <si>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</si>
  <si>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</si>
  <si>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</si>
  <si>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</si>
  <si>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</si>
  <si>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</si>
  <si>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</si>
  <si>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</si>
  <si>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</si>
  <si>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</si>
  <si>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</si>
  <si>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</si>
  <si>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</si>
  <si>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</si>
  <si>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</si>
  <si>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</si>
  <si>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</si>
  <si>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</si>
  <si>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</si>
  <si>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</si>
  <si>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</si>
  <si>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</si>
  <si>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</si>
  <si>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</si>
  <si>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</si>
  <si>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</si>
  <si>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</si>
  <si>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</si>
  <si>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</si>
  <si>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</si>
  <si>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</si>
  <si>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</si>
  <si>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</si>
  <si>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</si>
  <si>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</si>
  <si>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</si>
  <si>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</si>
  <si>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</si>
  <si>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</si>
  <si>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</si>
  <si>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</si>
  <si>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</si>
  <si>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</si>
  <si>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</si>
  <si>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</si>
  <si>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</si>
  <si>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</si>
  <si>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</si>
  <si>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</si>
  <si>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</si>
  <si>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</si>
  <si>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</si>
  <si>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</si>
  <si>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</si>
  <si>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</si>
  <si>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</si>
  <si>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</si>
  <si>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</si>
  <si>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</si>
  <si>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</si>
  <si>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</si>
  <si>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</si>
  <si>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</si>
  <si>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</si>
  <si>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</si>
  <si>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</si>
  <si>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</si>
  <si>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</si>
  <si>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</si>
  <si>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</si>
  <si>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</si>
  <si>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</si>
  <si>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</si>
  <si>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</si>
  <si>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</si>
  <si>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</si>
  <si>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</si>
  <si>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</si>
  <si>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</si>
  <si>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</si>
  <si>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</si>
  <si>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</si>
  <si>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</si>
  <si>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</si>
  <si>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</si>
  <si>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</si>
  <si>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</si>
  <si>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</si>
  <si>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</si>
  <si>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</si>
  <si>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</si>
  <si>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</si>
  <si>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</si>
  <si>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</si>
  <si>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</si>
  <si>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</si>
  <si>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</si>
  <si>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</si>
  <si>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</si>
  <si>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</si>
  <si>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</si>
  <si>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</si>
  <si>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</si>
  <si>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</si>
  <si>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</si>
  <si>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</si>
  <si>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</si>
  <si>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</si>
  <si>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</si>
  <si>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</si>
  <si>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</si>
  <si>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</si>
  <si>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</si>
  <si>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</si>
  <si>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</si>
  <si>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</si>
  <si>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</si>
  <si>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</si>
  <si>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</si>
  <si>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</si>
  <si>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</si>
  <si>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</si>
  <si>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</si>
  <si>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</si>
  <si>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</si>
  <si>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</si>
  <si>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</si>
  <si>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</si>
  <si>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</si>
  <si>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</si>
  <si>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</si>
  <si>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</si>
  <si>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</si>
  <si>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</si>
  <si>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</si>
  <si>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</si>
  <si>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</si>
  <si>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</si>
  <si>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</si>
  <si>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</si>
  <si>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</si>
  <si>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</si>
  <si>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</si>
  <si>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</si>
  <si>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</si>
  <si>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</si>
  <si>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</si>
  <si>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</si>
  <si>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</si>
  <si>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</si>
  <si>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</si>
  <si>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</si>
  <si>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</si>
  <si>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</si>
  <si>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</si>
  <si>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</si>
  <si>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</si>
  <si>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</si>
  <si>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</si>
  <si>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</si>
  <si>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</si>
  <si>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</si>
  <si>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</si>
  <si>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</si>
  <si>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</si>
  <si>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</si>
  <si>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</si>
  <si>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</si>
  <si>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</si>
  <si>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</si>
  <si>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</si>
  <si>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</si>
  <si>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</si>
  <si>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</si>
  <si>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</si>
  <si>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</si>
  <si>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</si>
  <si>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</si>
  <si>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</si>
  <si>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</si>
  <si>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</si>
  <si>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</si>
  <si>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</si>
  <si>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</si>
  <si>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</si>
  <si>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</si>
  <si>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</si>
  <si>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</si>
  <si>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</si>
  <si>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</si>
  <si>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</si>
  <si>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</si>
  <si>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</si>
  <si>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</si>
  <si>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</si>
  <si>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</si>
  <si>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</si>
  <si>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</si>
  <si>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</si>
  <si>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</si>
  <si>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</si>
  <si>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</si>
  <si>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</si>
  <si>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</si>
  <si>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</si>
  <si>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</si>
  <si>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</si>
  <si>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</si>
  <si>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</si>
  <si>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</si>
  <si>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</si>
  <si>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</si>
  <si>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</si>
  <si>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</si>
  <si>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</si>
  <si>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</si>
  <si>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</si>
  <si>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</si>
  <si>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</si>
  <si>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</si>
  <si>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</si>
  <si>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</si>
  <si>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</si>
  <si>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</si>
  <si>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</si>
  <si>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</si>
  <si>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</si>
  <si>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</si>
  <si>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</si>
  <si>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</si>
  <si>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</si>
  <si>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</si>
  <si>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</si>
  <si>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</si>
  <si>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</si>
  <si>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</si>
  <si>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</si>
  <si>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</si>
  <si>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</si>
  <si>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</si>
  <si>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</si>
  <si>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</si>
  <si>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</si>
  <si>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</si>
  <si>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</si>
  <si>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</si>
  <si>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</si>
  <si>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</si>
  <si>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</si>
  <si>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</si>
  <si>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</si>
  <si>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</si>
  <si>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</si>
  <si>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</si>
  <si>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</si>
  <si>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</si>
  <si>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</si>
  <si>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</si>
  <si>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</si>
  <si>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</si>
  <si>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</si>
  <si>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</si>
  <si>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</si>
  <si>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</si>
  <si>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</si>
  <si>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</si>
  <si>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</si>
  <si>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</si>
  <si>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</si>
  <si>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</si>
  <si>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</si>
  <si>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</si>
  <si>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</si>
  <si>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</si>
  <si>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</si>
  <si>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</si>
  <si>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</si>
  <si>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</si>
  <si>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</si>
  <si>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</si>
  <si>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</si>
  <si>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</si>
  <si>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</si>
  <si>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</si>
  <si>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</si>
  <si>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</si>
  <si>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</si>
  <si>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</si>
  <si>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</si>
  <si>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</si>
  <si>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</si>
  <si>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</si>
  <si>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</si>
  <si>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</si>
  <si>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</si>
  <si>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</si>
  <si>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</si>
  <si>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</si>
  <si>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</si>
  <si>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</si>
  <si>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</si>
  <si>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</si>
  <si>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</si>
  <si>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</si>
  <si>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</si>
  <si>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</si>
  <si>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</si>
  <si>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</si>
  <si>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</si>
  <si>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</si>
  <si>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</si>
  <si>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</si>
  <si>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</si>
  <si>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</si>
  <si>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</si>
  <si>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</si>
  <si>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</si>
  <si>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</si>
  <si>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</si>
  <si>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</si>
  <si>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</si>
  <si>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</si>
  <si>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</si>
  <si>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</si>
  <si>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</si>
  <si>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</si>
  <si>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</si>
  <si>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</si>
  <si>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</si>
  <si>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</si>
  <si>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</si>
  <si>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</si>
  <si>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</si>
  <si>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</si>
  <si>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</si>
  <si>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</si>
  <si>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</si>
  <si>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</si>
  <si>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</si>
  <si>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</si>
  <si>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</si>
  <si>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</si>
  <si>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</si>
  <si>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</si>
  <si>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</si>
  <si>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</si>
  <si>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</si>
  <si>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</si>
  <si>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</si>
  <si>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</si>
  <si>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</si>
  <si>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</si>
  <si>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</si>
  <si>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</si>
  <si>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</si>
  <si>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</si>
  <si>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</si>
  <si>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</si>
  <si>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</si>
  <si>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</si>
  <si>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</si>
  <si>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</si>
  <si>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</si>
  <si>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</si>
  <si>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</si>
  <si>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</si>
  <si>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</si>
  <si>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</si>
  <si>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</si>
  <si>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</si>
  <si>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</si>
  <si>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</si>
  <si>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</si>
  <si>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</si>
  <si>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</si>
  <si>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</si>
  <si>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</si>
  <si>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</si>
  <si>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</si>
  <si>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</si>
  <si>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</si>
  <si>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</si>
  <si>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</si>
  <si>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</si>
  <si>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</si>
  <si>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</si>
  <si>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</si>
  <si>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</si>
  <si>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</si>
  <si>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</si>
  <si>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</si>
  <si>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</si>
  <si>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</si>
  <si>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</si>
  <si>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</si>
  <si>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</si>
  <si>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</si>
  <si>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</si>
  <si>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</si>
  <si>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</si>
  <si>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</si>
  <si>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</si>
  <si>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</si>
  <si>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</si>
  <si>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</si>
  <si>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</si>
  <si>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</si>
  <si>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</si>
  <si>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</si>
  <si>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</si>
  <si>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</si>
  <si>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</si>
  <si>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</si>
  <si>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</si>
  <si>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</si>
  <si>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</si>
  <si>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</si>
  <si>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</si>
  <si>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</si>
  <si>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</si>
  <si>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</si>
  <si>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</si>
  <si>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</si>
  <si>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</si>
  <si>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</si>
  <si>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</si>
  <si>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</si>
  <si>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</si>
  <si>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</si>
  <si>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</si>
  <si>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</si>
  <si>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</si>
  <si>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</si>
  <si>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</si>
  <si>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</si>
  <si>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</si>
  <si>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</si>
  <si>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</si>
  <si>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</si>
  <si>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</si>
  <si>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</si>
  <si>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</si>
  <si>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</si>
  <si>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</si>
  <si>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</si>
  <si>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</si>
  <si>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</si>
  <si>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</si>
  <si>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</si>
  <si>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</si>
  <si>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</si>
  <si>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</si>
  <si>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</si>
  <si>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</si>
  <si>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</si>
  <si>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</si>
  <si>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</si>
  <si>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</si>
  <si>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</si>
  <si>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</si>
  <si>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</si>
  <si>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</si>
  <si>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</si>
  <si>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</si>
  <si>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</si>
  <si>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</si>
  <si>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</si>
  <si>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</si>
  <si>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</si>
  <si>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</si>
  <si>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</si>
  <si>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</si>
  <si>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</si>
  <si>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</si>
  <si>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</si>
  <si>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</si>
  <si>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</si>
  <si>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</si>
  <si>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</si>
  <si>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</si>
  <si>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</si>
  <si>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</si>
  <si>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</si>
  <si>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</si>
  <si>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</si>
  <si>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</si>
  <si>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</si>
  <si>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</si>
  <si>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</si>
  <si>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</si>
  <si>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</si>
  <si>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</si>
  <si>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</si>
  <si>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</si>
  <si>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</si>
  <si>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</si>
  <si>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</si>
  <si>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</si>
  <si>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</si>
  <si>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</si>
  <si>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</si>
  <si>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</si>
  <si>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</si>
  <si>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</si>
  <si>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</si>
  <si>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</si>
  <si>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</si>
  <si>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</si>
  <si>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</si>
  <si>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</si>
  <si>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</si>
  <si>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</si>
  <si>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</si>
  <si>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</si>
  <si>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</si>
  <si>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</si>
  <si>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</si>
  <si>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</si>
  <si>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</si>
  <si>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</si>
  <si>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</si>
  <si>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</si>
  <si>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</si>
  <si>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</si>
  <si>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</si>
  <si>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</si>
  <si>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</si>
  <si>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</si>
  <si>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</si>
  <si>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</si>
  <si>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</si>
  <si>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</si>
  <si>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</si>
  <si>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</si>
  <si>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</si>
  <si>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</si>
  <si>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</si>
  <si>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</si>
  <si>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</si>
  <si>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</si>
  <si>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</si>
  <si>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</si>
  <si>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</si>
  <si>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</si>
  <si>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</si>
  <si>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</si>
  <si>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</si>
  <si>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</si>
  <si>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</si>
  <si>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</si>
  <si>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</si>
  <si>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</si>
  <si>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</si>
  <si>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</si>
  <si>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</si>
  <si>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</si>
  <si>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</si>
  <si>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</si>
  <si>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</si>
  <si>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</si>
  <si>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</si>
  <si>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</si>
  <si>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</si>
  <si>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</si>
  <si>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</si>
  <si>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</si>
  <si>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</si>
  <si>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</si>
  <si>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</si>
  <si>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</si>
  <si>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</si>
  <si>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</si>
  <si>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</si>
  <si>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</si>
  <si>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</si>
  <si>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</si>
  <si>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</si>
  <si>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</si>
  <si>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</si>
  <si>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</si>
  <si>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</si>
  <si>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</si>
  <si>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</si>
  <si>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</si>
  <si>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</si>
  <si>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</si>
  <si>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</si>
  <si>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</si>
  <si>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</si>
  <si>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</si>
  <si>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</si>
  <si>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</si>
  <si>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</si>
  <si>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</si>
  <si>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</si>
  <si>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</si>
  <si>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</si>
  <si>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</si>
  <si>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</si>
  <si>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</si>
  <si>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</si>
  <si>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</si>
  <si>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</si>
  <si>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</si>
  <si>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</si>
  <si>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</si>
  <si>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</si>
  <si>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</si>
  <si>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</si>
  <si>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</si>
  <si>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</si>
  <si>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</si>
  <si>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</si>
  <si>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</si>
  <si>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</si>
  <si>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</si>
  <si>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</si>
  <si>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</si>
  <si>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</si>
  <si>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</si>
  <si>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</si>
  <si>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</si>
  <si>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</si>
  <si>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</si>
  <si>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</si>
  <si>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</si>
  <si>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</si>
  <si>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</si>
  <si>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</si>
  <si>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</si>
  <si>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</si>
  <si>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</si>
  <si>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</si>
  <si>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</si>
  <si>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</si>
  <si>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</si>
  <si>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</si>
  <si>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</si>
  <si>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</si>
  <si>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</si>
  <si>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</si>
  <si>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</si>
  <si>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</si>
  <si>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</si>
  <si>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</si>
  <si>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</si>
  <si>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</si>
  <si>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</si>
  <si>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</si>
  <si>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</si>
  <si>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</si>
  <si>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</si>
  <si>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</si>
  <si>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</si>
  <si>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</si>
  <si>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</si>
  <si>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</si>
  <si>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</si>
  <si>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</si>
  <si>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</si>
  <si>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</si>
  <si>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</si>
  <si>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</si>
  <si>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</si>
  <si>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</si>
  <si>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</si>
  <si>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</si>
  <si>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</si>
  <si>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</si>
  <si>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</si>
  <si>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</si>
  <si>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</si>
  <si>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</si>
  <si>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</si>
  <si>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</si>
  <si>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</si>
  <si>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</si>
  <si>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</si>
  <si>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</si>
  <si>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</si>
  <si>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</si>
  <si>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</si>
  <si>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</si>
  <si>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</si>
  <si>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</si>
  <si>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</si>
  <si>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</si>
  <si>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</si>
  <si>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</si>
  <si>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</si>
  <si>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</si>
  <si>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</si>
  <si>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</si>
  <si>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</si>
  <si>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</si>
  <si>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</si>
  <si>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</si>
  <si>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</si>
  <si>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</si>
  <si>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</si>
  <si>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</si>
  <si>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</si>
  <si>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</si>
  <si>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</si>
  <si>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</si>
  <si>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</si>
  <si>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</si>
  <si>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</si>
  <si>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</si>
  <si>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</si>
  <si>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</si>
  <si>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</si>
  <si>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</si>
  <si>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</si>
  <si>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</si>
  <si>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</si>
  <si>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</si>
  <si>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</si>
  <si>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</si>
  <si>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</si>
  <si>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</si>
  <si>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</si>
  <si>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</si>
  <si>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</si>
  <si>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</si>
  <si>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</si>
  <si>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</si>
  <si>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</si>
  <si>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</si>
  <si>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</si>
  <si>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</si>
  <si>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</si>
  <si>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</si>
  <si>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</si>
  <si>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</si>
  <si>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</si>
  <si>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</si>
  <si>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</si>
  <si>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</si>
  <si>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</si>
  <si>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</si>
  <si>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</si>
  <si>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</si>
  <si>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</si>
  <si>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</si>
  <si>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</si>
  <si>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</si>
  <si>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</si>
  <si>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</si>
  <si>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</si>
  <si>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</si>
  <si>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</si>
  <si>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</si>
  <si>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</si>
  <si>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</si>
  <si>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</si>
  <si>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</si>
  <si>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</si>
  <si>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</si>
  <si>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</si>
  <si>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</si>
  <si>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</si>
  <si>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</si>
  <si>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</si>
  <si>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</si>
  <si>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</si>
  <si>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</si>
  <si>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</si>
  <si>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</si>
  <si>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</si>
  <si>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</si>
  <si>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</si>
  <si>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</si>
  <si>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</si>
  <si>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</si>
  <si>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</si>
  <si>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</si>
  <si>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</si>
  <si>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</si>
  <si>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</si>
  <si>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</si>
  <si>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</si>
  <si>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</si>
  <si>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</si>
  <si>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</si>
  <si>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</si>
  <si>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</si>
  <si>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</si>
  <si>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</si>
  <si>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</si>
  <si>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</si>
  <si>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</si>
  <si>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</si>
  <si>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</si>
  <si>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</si>
  <si>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</si>
  <si>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</si>
  <si>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</si>
  <si>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</si>
  <si>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</si>
  <si>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</si>
  <si>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</si>
  <si>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</si>
  <si>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</si>
  <si>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</si>
  <si>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</si>
  <si>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</si>
  <si>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</si>
  <si>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</si>
  <si>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</si>
  <si>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</si>
  <si>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</si>
  <si>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</si>
  <si>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</si>
  <si>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</si>
  <si>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</si>
  <si>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</si>
  <si>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</si>
  <si>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</si>
  <si>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</si>
  <si>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</si>
  <si>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</si>
  <si>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</si>
  <si>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</si>
  <si>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</si>
  <si>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</si>
  <si>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</si>
  <si>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</si>
  <si>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</si>
  <si>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</si>
  <si>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</si>
  <si>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</si>
  <si>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</si>
  <si>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</si>
  <si>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</si>
  <si>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</si>
  <si>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</si>
  <si>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</si>
  <si>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</si>
  <si>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</si>
  <si>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</si>
  <si>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</si>
  <si>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</si>
  <si>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</si>
  <si>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</si>
  <si>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</si>
  <si>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</si>
  <si>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</si>
  <si>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</si>
  <si>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</si>
  <si>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</si>
  <si>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</si>
  <si>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</si>
  <si>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</si>
  <si>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</si>
  <si>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</si>
  <si>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</si>
  <si>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</si>
  <si>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</si>
  <si>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</si>
  <si>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</si>
  <si>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</si>
  <si>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</si>
  <si>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</si>
  <si>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</si>
  <si>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</si>
  <si>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</si>
  <si>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</si>
  <si>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</si>
  <si>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</si>
  <si>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</si>
  <si>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</si>
  <si>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</si>
  <si>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</si>
  <si>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</si>
  <si>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</si>
  <si>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</si>
  <si>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</si>
  <si>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</si>
  <si>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</si>
  <si>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</si>
  <si>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</si>
  <si>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</si>
  <si>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</si>
  <si>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</si>
  <si>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</si>
  <si>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</si>
  <si>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</si>
  <si>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</si>
  <si>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</si>
  <si>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</si>
  <si>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</si>
  <si>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</si>
  <si>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</si>
  <si>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</si>
  <si>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</si>
  <si>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</si>
  <si>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</si>
  <si>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</si>
  <si>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</si>
  <si>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</si>
  <si>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</si>
  <si>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</si>
  <si>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</si>
  <si>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</si>
  <si>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</si>
  <si>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</si>
  <si>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</si>
  <si>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</si>
  <si>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</si>
  <si>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</si>
  <si>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</si>
  <si>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</si>
  <si>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</si>
  <si>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</si>
  <si>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</si>
  <si>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</si>
  <si>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</si>
  <si>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</si>
  <si>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</si>
  <si>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</si>
  <si>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</si>
  <si>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</si>
  <si>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</si>
  <si>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</si>
  <si>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</si>
  <si>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</si>
  <si>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</si>
  <si>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</si>
  <si>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</si>
  <si>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</si>
  <si>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</si>
  <si>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</si>
  <si>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</si>
  <si>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</si>
  <si>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</si>
  <si>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</si>
  <si>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</si>
  <si>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</si>
  <si>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</si>
  <si>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</si>
  <si>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</si>
  <si>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</si>
  <si>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</si>
  <si>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</si>
  <si>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</si>
  <si>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</si>
  <si>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</si>
  <si>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</si>
  <si>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</si>
  <si>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</si>
  <si>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</si>
  <si>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</si>
  <si>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</si>
  <si>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</si>
  <si>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</si>
  <si>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</si>
  <si>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</si>
  <si>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</si>
  <si>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</si>
  <si>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</si>
  <si>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</si>
  <si>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</si>
  <si>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</si>
  <si>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</si>
  <si>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</si>
  <si>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</si>
  <si>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</si>
  <si>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</si>
  <si>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</si>
  <si>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</si>
  <si>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</si>
  <si>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</si>
  <si>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</si>
  <si>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</si>
  <si>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</si>
  <si>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</si>
  <si>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</si>
  <si>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</si>
  <si>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</si>
  <si>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</si>
  <si>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</si>
  <si>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</si>
  <si>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</si>
  <si>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</si>
  <si>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</si>
  <si>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</si>
  <si>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</si>
  <si>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</si>
  <si>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</si>
  <si>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</si>
  <si>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</si>
  <si>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</si>
  <si>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</si>
  <si>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</si>
  <si>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</si>
  <si>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</si>
  <si>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</si>
  <si>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</si>
  <si>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</si>
  <si>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</si>
  <si>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</si>
  <si>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</si>
  <si>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</si>
  <si>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</si>
  <si>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</si>
  <si>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</si>
  <si>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</si>
  <si>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</si>
  <si>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</si>
  <si>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</si>
  <si>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</si>
  <si>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</si>
  <si>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</si>
  <si>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</si>
  <si>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</si>
  <si>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</si>
  <si>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</si>
  <si>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</si>
  <si>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</si>
  <si>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</si>
  <si>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</si>
  <si>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</si>
  <si>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</si>
  <si>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</si>
  <si>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</si>
  <si>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</si>
  <si>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</si>
  <si>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</si>
  <si>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</si>
  <si>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</si>
  <si>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</si>
  <si>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</si>
  <si>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</si>
  <si>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</si>
  <si>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</si>
  <si>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</si>
  <si>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</si>
  <si>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</si>
  <si>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</si>
  <si>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</si>
  <si>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</si>
  <si>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</si>
  <si>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</si>
  <si>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</si>
  <si>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</si>
  <si>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</si>
  <si>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</si>
  <si>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</si>
  <si>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</si>
  <si>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</si>
  <si>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</si>
  <si>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</si>
  <si>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</si>
  <si>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</si>
  <si>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</si>
  <si>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</si>
  <si>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</si>
  <si>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</si>
  <si>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</si>
  <si>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</si>
  <si>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</si>
  <si>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</si>
  <si>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</si>
  <si>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</si>
  <si>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</si>
  <si>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</si>
  <si>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</si>
  <si>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</si>
  <si>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</si>
  <si>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</si>
  <si>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</si>
  <si>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</si>
  <si>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</si>
  <si>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</si>
  <si>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</si>
  <si>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</si>
  <si>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</si>
  <si>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</si>
  <si>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</si>
  <si>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</si>
  <si>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</si>
  <si>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</si>
  <si>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</si>
  <si>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</si>
  <si>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</si>
  <si>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</si>
  <si>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</si>
  <si>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</si>
  <si>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</si>
  <si>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</si>
  <si>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</si>
  <si>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</si>
  <si>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</si>
  <si>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</si>
  <si>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</si>
  <si>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</si>
  <si>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</si>
  <si>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</si>
  <si>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</si>
  <si>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</si>
  <si>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</si>
  <si>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</si>
  <si>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</si>
  <si>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</si>
  <si>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</si>
  <si>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</si>
  <si>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</si>
  <si>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</si>
  <si>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</si>
  <si>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</si>
  <si>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</si>
  <si>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</si>
  <si>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</si>
  <si>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</si>
  <si>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</si>
  <si>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</si>
  <si>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</si>
  <si>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</si>
  <si>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</si>
  <si>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</si>
  <si>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</si>
  <si>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</si>
  <si>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</si>
  <si>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</si>
  <si>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</si>
  <si>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</si>
  <si>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</si>
  <si>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</si>
  <si>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</si>
  <si>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</si>
  <si>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</si>
  <si>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</si>
  <si>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</si>
  <si>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</si>
  <si>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</si>
  <si>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</si>
  <si>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</si>
  <si>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</si>
  <si>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</si>
  <si>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</si>
  <si>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</si>
  <si>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</si>
  <si>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</si>
  <si>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</si>
  <si>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</si>
  <si>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</si>
  <si>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</si>
  <si>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</si>
  <si>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</si>
  <si>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</si>
  <si>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</si>
  <si>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</si>
  <si>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</si>
  <si>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</si>
  <si>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</si>
  <si>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</si>
  <si>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</si>
  <si>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</si>
  <si>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</si>
  <si>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</si>
  <si>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</si>
  <si>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</si>
  <si>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</si>
  <si>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</si>
  <si>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</si>
  <si>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</si>
  <si>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</si>
  <si>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</si>
  <si>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</si>
  <si>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</si>
  <si>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</si>
  <si>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</si>
  <si>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</si>
  <si>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</si>
  <si>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</si>
  <si>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</si>
  <si>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</si>
  <si>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</si>
  <si>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</si>
  <si>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</si>
  <si>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</si>
  <si>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</si>
  <si>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</si>
  <si>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</si>
  <si>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</si>
  <si>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</si>
  <si>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</si>
  <si>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</si>
  <si>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</si>
  <si>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</si>
  <si>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</si>
  <si>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</si>
  <si>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</si>
  <si>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</si>
  <si>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</si>
  <si>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</si>
  <si>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</si>
  <si>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</si>
  <si>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</si>
  <si>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</si>
  <si>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</si>
  <si>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</si>
  <si>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</si>
  <si>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</si>
  <si>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</si>
  <si>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</si>
  <si>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</si>
  <si>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</si>
  <si>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</si>
  <si>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</si>
  <si>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</si>
  <si>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</si>
  <si>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</si>
  <si>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</si>
  <si>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</si>
  <si>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</si>
  <si>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</si>
  <si>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</si>
  <si>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</si>
  <si>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</si>
  <si>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</si>
  <si>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</si>
  <si>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</si>
  <si>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</si>
  <si>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</si>
  <si>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</si>
  <si>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</si>
  <si>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</si>
  <si>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</si>
  <si>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</si>
  <si>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</si>
  <si>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</si>
  <si>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</si>
  <si>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</si>
  <si>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</si>
  <si>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</si>
  <si>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</si>
  <si>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</si>
  <si>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</si>
  <si>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</si>
  <si>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</si>
  <si>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</si>
  <si>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</si>
  <si>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</si>
  <si>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</si>
  <si>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</si>
  <si>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</si>
  <si>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</si>
  <si>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</si>
  <si>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</si>
  <si>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</si>
  <si>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</si>
  <si>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</si>
  <si>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</si>
  <si>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</si>
  <si>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</si>
  <si>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</si>
  <si>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</si>
  <si>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</si>
  <si>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</si>
  <si>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</si>
  <si>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</si>
  <si>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</si>
  <si>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</si>
  <si>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</si>
  <si>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</si>
  <si>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</si>
  <si>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</si>
  <si>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</si>
  <si>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</si>
  <si>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</si>
  <si>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</si>
  <si>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</si>
  <si>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</si>
  <si>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</si>
  <si>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</si>
  <si>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</si>
  <si>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</si>
  <si>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</si>
  <si>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</si>
  <si>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</si>
  <si>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</si>
  <si>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</si>
  <si>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</si>
  <si>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</si>
  <si>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</si>
  <si>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</si>
  <si>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</si>
  <si>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</si>
  <si>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</si>
  <si>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</si>
  <si>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</si>
  <si>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</si>
  <si>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</si>
  <si>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</si>
  <si>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</si>
  <si>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</si>
  <si>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</si>
  <si>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</si>
  <si>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</si>
  <si>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</si>
  <si>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</si>
  <si>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</si>
  <si>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</si>
  <si>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</si>
  <si>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</si>
  <si>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</si>
  <si>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</si>
  <si>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</si>
  <si>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</si>
  <si>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</si>
  <si>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</si>
  <si>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</si>
  <si>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</si>
  <si>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</si>
  <si>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</si>
  <si>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</si>
  <si>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</si>
  <si>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</si>
  <si>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</si>
  <si>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</si>
  <si>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</si>
  <si>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</si>
  <si>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</si>
  <si>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</si>
  <si>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</si>
  <si>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</si>
  <si>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</si>
  <si>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</si>
  <si>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</si>
  <si>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</si>
  <si>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</si>
  <si>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</si>
  <si>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</si>
  <si>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</si>
  <si>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</si>
  <si>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</si>
  <si>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</si>
  <si>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</si>
  <si>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</si>
  <si>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</si>
  <si>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</si>
  <si>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</si>
  <si>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</si>
  <si>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</si>
  <si>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</si>
  <si>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</si>
  <si>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</si>
  <si>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</si>
  <si>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</si>
  <si>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</si>
  <si>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</si>
  <si>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</si>
  <si>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</si>
  <si>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</si>
  <si>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</si>
  <si>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</si>
  <si>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</si>
  <si>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</si>
  <si>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</si>
  <si>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</si>
  <si>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</si>
  <si>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</si>
  <si>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</si>
  <si>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</si>
  <si>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</si>
  <si>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</si>
  <si>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</si>
  <si>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</si>
  <si>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</si>
  <si>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</si>
  <si>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</si>
  <si>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</si>
  <si>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</si>
  <si>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</si>
  <si>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</si>
  <si>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</si>
  <si>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</si>
  <si>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</si>
  <si>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</si>
  <si>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</si>
  <si>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</si>
  <si>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</si>
  <si>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</si>
  <si>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</si>
  <si>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</si>
  <si>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</si>
  <si>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</si>
  <si>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</si>
  <si>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</si>
  <si>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</si>
  <si>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</si>
  <si>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</si>
  <si>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</si>
  <si>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</si>
  <si>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</si>
  <si>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</si>
  <si>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</si>
  <si>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</si>
  <si>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</si>
  <si>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</si>
  <si>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</si>
  <si>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</si>
  <si>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</si>
  <si>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</si>
  <si>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</si>
  <si>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</si>
  <si>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</si>
  <si>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</si>
  <si>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</si>
  <si>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</si>
  <si>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</si>
  <si>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</si>
  <si>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</si>
  <si>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</si>
  <si>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</si>
  <si>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</si>
  <si>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</si>
  <si>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</si>
  <si>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</si>
  <si>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</si>
  <si>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</si>
  <si>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</si>
  <si>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</si>
  <si>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</si>
  <si>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</si>
  <si>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</si>
  <si>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</si>
  <si>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</si>
  <si>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</si>
  <si>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</si>
  <si>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</si>
  <si>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</si>
  <si>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</si>
  <si>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</si>
  <si>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</si>
  <si>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</si>
  <si>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</si>
  <si>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</si>
  <si>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</si>
  <si>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</si>
  <si>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</si>
  <si>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</si>
  <si>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</si>
  <si>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</si>
  <si>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</si>
  <si>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</si>
  <si>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</si>
  <si>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</si>
  <si>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</si>
  <si>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</si>
  <si>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</si>
  <si>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</si>
  <si>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</si>
  <si>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</si>
  <si>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</si>
  <si>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</si>
  <si>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</si>
  <si>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</si>
  <si>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</si>
  <si>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</si>
  <si>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</si>
  <si>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</si>
  <si>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</si>
  <si>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</si>
  <si>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</si>
  <si>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</si>
  <si>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</si>
  <si>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</si>
  <si>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</si>
  <si>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</si>
  <si>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</si>
  <si>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</si>
  <si>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</si>
  <si>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</si>
  <si>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</si>
  <si>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</si>
  <si>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</si>
  <si>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</si>
  <si>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</si>
  <si>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</si>
  <si>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</si>
  <si>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</si>
  <si>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</si>
  <si>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</si>
  <si>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</si>
  <si>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</si>
  <si>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</si>
  <si>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</si>
  <si>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</si>
  <si>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</si>
  <si>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</si>
  <si>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</si>
  <si>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</si>
  <si>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</si>
  <si>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</si>
  <si>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</si>
  <si>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</si>
  <si>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</si>
  <si>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</si>
  <si>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</si>
  <si>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</si>
  <si>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</si>
  <si>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</si>
  <si>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</si>
  <si>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</si>
  <si>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</si>
  <si>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</si>
  <si>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</si>
  <si>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</si>
  <si>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</si>
  <si>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</si>
  <si>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</si>
  <si>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</si>
  <si>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</si>
  <si>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</si>
  <si>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</si>
  <si>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</si>
  <si>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</si>
  <si>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</si>
  <si>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</si>
  <si>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</si>
  <si>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</si>
  <si>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</si>
  <si>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</si>
  <si>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</si>
  <si>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</si>
  <si>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</si>
  <si>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</si>
  <si>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</si>
  <si>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</si>
  <si>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</si>
  <si>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</si>
  <si>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</si>
  <si>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</si>
  <si>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</si>
  <si>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</si>
  <si>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</si>
  <si>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</si>
  <si>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</si>
  <si>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</si>
  <si>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</si>
  <si>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</si>
  <si>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</si>
  <si>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</si>
  <si>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</si>
  <si>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</si>
  <si>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</si>
  <si>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</si>
  <si>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</si>
  <si>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</si>
  <si>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</si>
  <si>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</si>
  <si>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</si>
  <si>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</si>
  <si>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</si>
  <si>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</si>
  <si>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</si>
  <si>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</si>
  <si>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</si>
  <si>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</si>
  <si>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</si>
  <si>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</si>
  <si>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</si>
  <si>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</si>
  <si>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</si>
  <si>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</si>
  <si>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</si>
  <si>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</si>
  <si>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</si>
  <si>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</si>
  <si>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</si>
  <si>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</si>
  <si>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</si>
  <si>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</si>
  <si>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</si>
  <si>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</si>
  <si>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</si>
  <si>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</si>
  <si>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</si>
  <si>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</si>
  <si>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</si>
  <si>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</si>
  <si>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</si>
  <si>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</si>
  <si>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</si>
  <si>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</si>
  <si>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</si>
  <si>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</si>
  <si>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</si>
  <si>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</si>
  <si>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</si>
  <si>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</si>
  <si>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</si>
  <si>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</si>
  <si>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</si>
  <si>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</si>
  <si>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</si>
  <si>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</si>
  <si>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</si>
  <si>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</si>
  <si>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</si>
  <si>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</si>
  <si>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</si>
  <si>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</si>
  <si>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</si>
  <si>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</si>
  <si>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</si>
  <si>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</si>
  <si>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</si>
  <si>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</si>
  <si>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</si>
  <si>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</si>
  <si>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</si>
  <si>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</si>
  <si>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</si>
  <si>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</si>
  <si>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</si>
  <si>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</si>
  <si>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</si>
  <si>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</si>
  <si>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</si>
  <si>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</si>
  <si>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</si>
  <si>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</si>
  <si>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</si>
  <si>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</si>
  <si>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</si>
  <si>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</si>
  <si>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</si>
  <si>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</si>
  <si>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</si>
  <si>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</si>
  <si>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</si>
  <si>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</si>
  <si>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</si>
  <si>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</si>
  <si>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</si>
  <si>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</si>
  <si>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</si>
  <si>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</si>
  <si>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</si>
  <si>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</si>
  <si>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</si>
  <si>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</si>
  <si>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</si>
  <si>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</si>
  <si>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</si>
  <si>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</si>
  <si>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</si>
  <si>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</si>
  <si>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</si>
  <si>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</si>
  <si>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</si>
  <si>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</si>
  <si>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</si>
  <si>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</si>
  <si>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</si>
  <si>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</si>
  <si>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</si>
  <si>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</si>
  <si>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</si>
  <si>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</si>
  <si>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</si>
  <si>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</si>
  <si>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</si>
  <si>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</si>
  <si>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</si>
  <si>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</si>
  <si>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</si>
  <si>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</si>
  <si>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</si>
  <si>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</si>
  <si>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</si>
  <si>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</si>
  <si>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</si>
  <si>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</si>
  <si>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</si>
  <si>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</si>
  <si>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</si>
  <si>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</si>
  <si>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</si>
  <si>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</si>
  <si>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</si>
  <si>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</si>
  <si>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</si>
  <si>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</si>
  <si>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</si>
  <si>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</si>
  <si>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</si>
  <si>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</si>
  <si>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</si>
  <si>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</si>
  <si>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</si>
  <si>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</si>
  <si>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</si>
  <si>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</si>
  <si>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</si>
  <si>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</si>
  <si>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</si>
  <si>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</si>
  <si>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</si>
  <si>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</si>
  <si>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</si>
  <si>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</si>
  <si>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</si>
  <si>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</si>
  <si>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</si>
  <si>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</si>
  <si>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</si>
  <si>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</si>
  <si>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</si>
  <si>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</si>
  <si>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</si>
  <si>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</si>
  <si>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</si>
  <si>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</si>
  <si>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</si>
  <si>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</si>
  <si>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</si>
  <si>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</si>
  <si>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</si>
  <si>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</si>
  <si>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</si>
  <si>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</si>
  <si>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</si>
  <si>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</si>
  <si>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</si>
  <si>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</si>
  <si>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</si>
  <si>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</si>
  <si>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</si>
  <si>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</si>
  <si>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</si>
  <si>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</si>
  <si>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</si>
  <si>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</si>
  <si>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</si>
  <si>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</si>
  <si>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</si>
  <si>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</si>
  <si>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</si>
  <si>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</si>
  <si>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</si>
  <si>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</si>
  <si>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</si>
  <si>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</si>
  <si>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</si>
  <si>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</si>
  <si>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</si>
  <si>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</si>
  <si>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</si>
  <si>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</si>
  <si>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</si>
  <si>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</si>
  <si>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</si>
  <si>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</si>
  <si>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</si>
  <si>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</si>
  <si>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</si>
  <si>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</si>
  <si>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</si>
  <si>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</si>
  <si>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</si>
  <si>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</si>
  <si>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</si>
  <si>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</si>
  <si>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</si>
  <si>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</si>
  <si>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</si>
  <si>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</si>
  <si>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</si>
  <si>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</si>
  <si>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</si>
  <si>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</si>
  <si>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</si>
  <si>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</si>
  <si>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</si>
  <si>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</si>
  <si>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</si>
  <si>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</si>
  <si>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</si>
  <si>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</si>
  <si>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</si>
  <si>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</si>
  <si>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</si>
  <si>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</si>
  <si>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</si>
  <si>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</si>
  <si>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</si>
  <si>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</si>
  <si>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</si>
  <si>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</si>
  <si>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</si>
  <si>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</si>
  <si>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</si>
  <si>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</si>
  <si>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</si>
  <si>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</si>
  <si>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</si>
  <si>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</si>
  <si>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</si>
  <si>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</si>
  <si>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</si>
  <si>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</si>
  <si>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</si>
  <si>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</si>
  <si>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</si>
  <si>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</si>
  <si>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</si>
  <si>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</si>
  <si>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</si>
  <si>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</si>
  <si>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</si>
  <si>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</si>
  <si>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</si>
  <si>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</si>
  <si>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</si>
  <si>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</si>
  <si>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</si>
  <si>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</si>
  <si>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</si>
  <si>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</si>
  <si>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</si>
  <si>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</si>
  <si>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</si>
  <si>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</si>
  <si>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</si>
  <si>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</si>
  <si>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</si>
  <si>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</si>
  <si>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</si>
  <si>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</si>
  <si>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</si>
  <si>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</si>
  <si>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</si>
  <si>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</si>
  <si>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</si>
  <si>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</si>
  <si>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</si>
  <si>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</si>
  <si>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</si>
  <si>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</si>
  <si>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</si>
  <si>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</si>
  <si>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</si>
  <si>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</si>
  <si>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</si>
  <si>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</si>
  <si>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</si>
  <si>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</si>
  <si>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</si>
  <si>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</si>
  <si>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</si>
  <si>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</si>
  <si>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</si>
  <si>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</si>
  <si>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</si>
  <si>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</si>
  <si>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</si>
  <si>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</si>
  <si>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</si>
  <si>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</si>
  <si>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</si>
  <si>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</si>
  <si>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</si>
  <si>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</si>
  <si>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</si>
  <si>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</si>
  <si>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</si>
  <si>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</si>
  <si>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</si>
  <si>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</si>
  <si>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</si>
  <si>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</si>
  <si>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</si>
  <si>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</si>
  <si>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</si>
  <si>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</si>
  <si>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</si>
  <si>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</si>
  <si>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</si>
  <si>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</si>
  <si>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</si>
  <si>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</si>
  <si>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</si>
  <si>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</si>
  <si>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</si>
  <si>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</si>
  <si>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</si>
  <si>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</si>
  <si>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</si>
  <si>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</si>
  <si>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</si>
  <si>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</si>
  <si>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</si>
  <si>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</si>
  <si>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</si>
  <si>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</si>
  <si>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</si>
  <si>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</si>
  <si>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</si>
  <si>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</si>
  <si>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</si>
  <si>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</si>
  <si>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</si>
  <si>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</si>
  <si>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</si>
  <si>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</si>
  <si>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</si>
  <si>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</si>
  <si>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</si>
  <si>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</si>
  <si>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</si>
  <si>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</si>
  <si>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</si>
  <si>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</si>
  <si>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</si>
  <si>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</si>
  <si>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</si>
  <si>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</si>
  <si>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</si>
  <si>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</si>
  <si>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</si>
  <si>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</si>
  <si>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</si>
  <si>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</si>
  <si>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</si>
  <si>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</si>
  <si>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</si>
  <si>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</si>
  <si>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</si>
  <si>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</si>
  <si>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</si>
  <si>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</si>
  <si>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</si>
  <si>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</si>
  <si>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</si>
  <si>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</si>
  <si>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</si>
  <si>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</si>
  <si>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</si>
  <si>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</si>
  <si>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</si>
  <si>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</si>
  <si>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</si>
  <si>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</si>
  <si>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</si>
  <si>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</si>
  <si>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</si>
  <si>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</si>
  <si>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</si>
  <si>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</si>
  <si>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</si>
  <si>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</si>
  <si>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</si>
  <si>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</si>
  <si>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</si>
  <si>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</si>
  <si>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</si>
  <si>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</si>
  <si>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</si>
  <si>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</si>
  <si>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</si>
  <si>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</si>
  <si>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</si>
  <si>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</si>
  <si>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</si>
  <si>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</si>
  <si>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</si>
  <si>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</si>
  <si>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</si>
  <si>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</si>
  <si>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</si>
  <si>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</si>
  <si>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</si>
  <si>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</si>
  <si>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</si>
  <si>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</si>
  <si>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</si>
  <si>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</si>
  <si>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</si>
  <si>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</si>
  <si>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</si>
  <si>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</si>
  <si>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</si>
  <si>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</si>
  <si>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</si>
  <si>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</si>
  <si>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</si>
  <si>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</si>
  <si>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</si>
  <si>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</si>
  <si>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</si>
  <si>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</si>
  <si>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</si>
  <si>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</si>
  <si>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</si>
  <si>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</si>
  <si>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</si>
  <si>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</si>
  <si>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</si>
  <si>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</si>
  <si>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</si>
  <si>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</si>
  <si>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</si>
  <si>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</si>
  <si>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</si>
  <si>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</si>
  <si>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</si>
  <si>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</si>
  <si>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</si>
  <si>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</si>
  <si>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</si>
  <si>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</si>
  <si>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</si>
  <si>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</si>
  <si>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</si>
  <si>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</si>
  <si>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</si>
  <si>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</si>
  <si>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</si>
  <si>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</si>
  <si>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</si>
  <si>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</si>
  <si>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</si>
  <si>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</si>
  <si>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</si>
  <si>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</si>
  <si>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</si>
  <si>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</si>
  <si>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</si>
  <si>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</si>
  <si>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</si>
  <si>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</si>
  <si>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</si>
  <si>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</si>
  <si>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</si>
  <si>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</si>
  <si>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</si>
  <si>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</si>
  <si>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</si>
  <si>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</si>
  <si>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</si>
  <si>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</si>
  <si>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</si>
  <si>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</si>
  <si>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</si>
  <si>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</si>
  <si>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</si>
  <si>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</si>
  <si>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</si>
  <si>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</si>
  <si>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</si>
  <si>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</si>
  <si>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</si>
  <si>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</si>
  <si>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</si>
  <si>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</si>
  <si>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</si>
  <si>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</si>
  <si>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</si>
  <si>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</si>
  <si>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</si>
  <si>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</si>
  <si>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</si>
  <si>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</si>
  <si>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</si>
  <si>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</si>
  <si>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</si>
  <si>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</si>
  <si>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</si>
  <si>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</si>
  <si>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</si>
  <si>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</si>
  <si>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</si>
  <si>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</si>
  <si>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</si>
  <si>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</si>
  <si>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</si>
  <si>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</si>
  <si>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</si>
  <si>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</si>
  <si>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</si>
  <si>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</si>
  <si>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</si>
  <si>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</si>
  <si>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</si>
  <si>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</si>
  <si>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</si>
  <si>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</si>
  <si>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</si>
  <si>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</si>
  <si>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</si>
  <si>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</si>
  <si>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</si>
  <si>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</si>
  <si>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</si>
  <si>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</si>
  <si>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</si>
  <si>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</si>
  <si>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</si>
  <si>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</si>
  <si>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</si>
  <si>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</si>
  <si>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</si>
  <si>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</si>
  <si>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</si>
  <si>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</si>
  <si>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</si>
  <si>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</si>
  <si>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</si>
  <si>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</si>
  <si>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</si>
  <si>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</si>
  <si>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</si>
  <si>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</si>
  <si>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</si>
  <si>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</si>
  <si>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</si>
  <si>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</si>
  <si>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</si>
  <si>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</si>
  <si>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</si>
  <si>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</si>
  <si>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</si>
  <si>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</si>
  <si>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</si>
  <si>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</si>
  <si>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</si>
  <si>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</si>
  <si>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</si>
  <si>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</si>
  <si>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</si>
  <si>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</si>
  <si>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</si>
  <si>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</si>
  <si>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</si>
  <si>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</si>
  <si>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</si>
  <si>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</si>
  <si>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</si>
  <si>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</si>
  <si>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</si>
  <si>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</si>
  <si>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</si>
  <si>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</si>
  <si>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</si>
  <si>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</si>
  <si>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</si>
  <si>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</si>
  <si>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</si>
  <si>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</si>
  <si>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</si>
  <si>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</si>
  <si>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</si>
  <si>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</si>
  <si>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</si>
  <si>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</si>
  <si>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</si>
  <si>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</si>
  <si>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</si>
  <si>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</si>
  <si>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</si>
  <si>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</si>
  <si>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</si>
  <si>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</si>
  <si>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</si>
  <si>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</si>
  <si>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</si>
  <si>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</si>
  <si>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</si>
  <si>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</si>
  <si>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</si>
  <si>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</si>
  <si>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</si>
  <si>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</si>
  <si>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</si>
  <si>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</si>
  <si>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</si>
  <si>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</si>
  <si>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</si>
  <si>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</si>
  <si>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</si>
  <si>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</si>
  <si>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</si>
  <si>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</si>
  <si>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</si>
  <si>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</si>
  <si>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</si>
  <si>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</si>
  <si>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</si>
  <si>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</si>
  <si>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</si>
  <si>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</si>
  <si>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</si>
  <si>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</si>
  <si>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</si>
  <si>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</si>
  <si>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</si>
  <si>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</si>
  <si>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</si>
  <si>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</si>
  <si>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</si>
  <si>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</si>
  <si>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</si>
  <si>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</si>
  <si>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</si>
  <si>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</si>
  <si>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</si>
  <si>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</si>
  <si>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</si>
  <si>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</si>
  <si>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</si>
  <si>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</si>
  <si>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</si>
  <si>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</si>
  <si>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</si>
  <si>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</si>
  <si>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</si>
  <si>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</si>
  <si>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</si>
  <si>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</si>
  <si>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</si>
  <si>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</si>
  <si>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</si>
  <si>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</si>
  <si>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</si>
  <si>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</si>
  <si>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</si>
  <si>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</si>
  <si>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</si>
  <si>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</si>
  <si>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</si>
  <si>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</si>
  <si>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</si>
  <si>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</si>
  <si>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</si>
  <si>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</si>
  <si>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</si>
  <si>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</si>
  <si>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</si>
  <si>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</si>
  <si>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</si>
  <si>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</si>
  <si>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</si>
  <si>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</si>
  <si>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</si>
  <si>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</si>
  <si>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</si>
  <si>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</si>
  <si>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</si>
  <si>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</si>
  <si>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</si>
  <si>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</si>
  <si>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</si>
  <si>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</si>
  <si>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</si>
  <si>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</si>
  <si>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</si>
  <si>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</si>
  <si>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</si>
  <si>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</si>
  <si>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</si>
  <si>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</si>
  <si>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</si>
  <si>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</si>
  <si>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</si>
  <si>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</si>
  <si>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</si>
  <si>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</si>
  <si>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</si>
  <si>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</si>
  <si>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</si>
  <si>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</si>
  <si>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</si>
  <si>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</si>
  <si>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</si>
  <si>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</si>
  <si>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</si>
  <si>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</si>
  <si>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</si>
  <si>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</si>
  <si>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</si>
  <si>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</si>
  <si>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</si>
  <si>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</si>
  <si>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</si>
  <si>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</si>
  <si>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</si>
  <si>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</si>
  <si>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</si>
  <si>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</si>
  <si>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</si>
  <si>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</si>
  <si>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</si>
  <si>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</si>
  <si>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</si>
  <si>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</si>
  <si>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</si>
  <si>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</si>
  <si>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</si>
  <si>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</si>
  <si>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</si>
  <si>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</si>
  <si>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</si>
  <si>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</si>
  <si>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</si>
  <si>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</si>
  <si>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</si>
  <si>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</si>
  <si>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</si>
  <si>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</si>
  <si>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</si>
  <si>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</si>
  <si>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</si>
  <si>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</si>
  <si>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</si>
  <si>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</si>
  <si>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</si>
  <si>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</si>
  <si>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</si>
  <si>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</si>
  <si>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</si>
  <si>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</si>
  <si>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</si>
  <si>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</si>
  <si>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</si>
  <si>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</si>
  <si>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</si>
  <si>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</si>
  <si>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</si>
  <si>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</si>
  <si>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</si>
  <si>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</si>
  <si>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</si>
  <si>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</si>
  <si>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</si>
  <si>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</si>
  <si>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</si>
  <si>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</si>
  <si>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</si>
  <si>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</si>
  <si>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</si>
  <si>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</si>
  <si>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</si>
  <si>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</si>
  <si>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</si>
  <si>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</si>
  <si>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</si>
  <si>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</si>
  <si>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</si>
  <si>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</si>
  <si>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</si>
  <si>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</si>
  <si>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</si>
  <si>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</si>
  <si>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</si>
  <si>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</si>
  <si>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</si>
  <si>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</si>
  <si>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</si>
  <si>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</si>
  <si>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</si>
  <si>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</si>
  <si>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</si>
  <si>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</si>
  <si>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</si>
  <si>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</si>
  <si>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</si>
  <si>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</si>
  <si>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</si>
  <si>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</si>
  <si>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</si>
  <si>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</si>
  <si>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</si>
  <si>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</si>
  <si>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</si>
  <si>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</si>
  <si>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</si>
  <si>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</si>
  <si>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</si>
  <si>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</si>
  <si>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</si>
  <si>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</si>
  <si>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</si>
  <si>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</si>
  <si>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</si>
  <si>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</si>
  <si>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</si>
  <si>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</si>
  <si>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</si>
  <si>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</si>
  <si>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</si>
  <si>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</si>
  <si>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</si>
  <si>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</si>
  <si>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</si>
  <si>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</si>
  <si>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</si>
  <si>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</si>
  <si>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</si>
  <si>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</si>
  <si>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</si>
  <si>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</si>
  <si>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</si>
  <si>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</si>
  <si>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</si>
  <si>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</si>
  <si>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</si>
  <si>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</si>
  <si>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</si>
  <si>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</si>
  <si>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</si>
  <si>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</si>
  <si>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</si>
  <si>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</si>
  <si>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</si>
  <si>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</si>
  <si>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</si>
  <si>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</si>
  <si>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</si>
  <si>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</si>
  <si>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</si>
  <si>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</si>
  <si>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</si>
  <si>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</si>
  <si>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</si>
  <si>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</si>
  <si>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</si>
  <si>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</si>
  <si>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</si>
  <si>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</si>
  <si>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</si>
  <si>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</si>
  <si>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</si>
  <si>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</si>
  <si>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</si>
  <si>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</si>
  <si>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</si>
  <si>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</si>
  <si>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</si>
  <si>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</si>
  <si>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</si>
  <si>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</si>
  <si>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</si>
  <si>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</si>
  <si>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</si>
  <si>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</si>
  <si>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</si>
  <si>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</si>
  <si>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</si>
  <si>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</si>
  <si>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</si>
  <si>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</si>
  <si>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</si>
  <si>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</si>
  <si>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</si>
  <si>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</si>
  <si>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</si>
  <si>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</si>
  <si>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</si>
  <si>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</si>
  <si>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</si>
  <si>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</si>
  <si>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</si>
  <si>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</si>
  <si>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</si>
  <si>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</si>
  <si>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</si>
  <si>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</si>
  <si>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</si>
  <si>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</si>
  <si>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</si>
  <si>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</si>
  <si>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</si>
  <si>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</si>
  <si>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</si>
  <si>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</si>
  <si>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</si>
  <si>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</si>
  <si>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</si>
  <si>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</si>
  <si>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</si>
  <si>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</si>
  <si>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</si>
  <si>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</si>
  <si>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</si>
  <si>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</si>
  <si>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</si>
  <si>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</si>
  <si>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</si>
  <si>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</si>
  <si>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</si>
  <si>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</si>
  <si>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</si>
  <si>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</si>
  <si>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</si>
  <si>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</si>
  <si>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</si>
  <si>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</si>
  <si>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</si>
  <si>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</si>
  <si>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</si>
  <si>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</si>
  <si>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</si>
  <si>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</si>
  <si>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</si>
  <si>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</si>
  <si>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</si>
  <si>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</si>
  <si>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</si>
  <si>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</si>
  <si>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</si>
  <si>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</si>
  <si>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</si>
  <si>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</si>
  <si>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</si>
  <si>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</si>
  <si>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</si>
  <si>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</si>
  <si>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</si>
  <si>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</si>
  <si>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</si>
  <si>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</si>
  <si>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</si>
  <si>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</si>
  <si>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</si>
  <si>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</si>
  <si>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</si>
  <si>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</si>
  <si>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</si>
  <si>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</si>
  <si>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</si>
  <si>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</si>
  <si>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</si>
  <si>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</si>
  <si>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</si>
  <si>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</si>
  <si>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</si>
  <si>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</si>
  <si>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</si>
  <si>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</si>
  <si>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</si>
  <si>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</si>
  <si>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</si>
  <si>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</si>
  <si>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</si>
  <si>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</si>
  <si>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</si>
  <si>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</si>
  <si>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</si>
  <si>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</si>
  <si>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</si>
  <si>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</si>
  <si>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</si>
  <si>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</si>
  <si>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</si>
  <si>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</si>
  <si>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</si>
  <si>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</si>
  <si>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</si>
  <si>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</si>
  <si>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</si>
  <si>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</si>
  <si>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</si>
  <si>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</si>
  <si>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</si>
  <si>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</si>
  <si>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</si>
  <si>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</si>
  <si>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</si>
  <si>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</si>
  <si>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</si>
  <si>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</si>
  <si>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</si>
  <si>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</si>
  <si>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</si>
  <si>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</si>
  <si>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</si>
  <si>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</si>
  <si>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</si>
  <si>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</si>
  <si>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</si>
  <si>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</si>
  <si>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</si>
  <si>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</si>
  <si>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</si>
  <si>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</si>
  <si>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</si>
  <si>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</si>
  <si>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</si>
  <si>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</si>
  <si>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</si>
  <si>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</si>
  <si>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</si>
  <si>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</si>
  <si>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</si>
  <si>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</si>
  <si>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</si>
  <si>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</si>
  <si>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</si>
  <si>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</si>
  <si>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</si>
  <si>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</si>
  <si>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</si>
  <si>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</si>
  <si>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</si>
  <si>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</si>
  <si>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</si>
  <si>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</si>
  <si>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</si>
  <si>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</si>
  <si>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</si>
  <si>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</si>
  <si>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</si>
  <si>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</si>
  <si>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</si>
  <si>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</si>
  <si>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</si>
  <si>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</si>
  <si>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</si>
  <si>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</si>
  <si>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</si>
  <si>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</si>
  <si>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</si>
  <si>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</si>
  <si>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</si>
  <si>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</si>
  <si>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</si>
  <si>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</si>
  <si>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</si>
  <si>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</si>
  <si>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</si>
  <si>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</si>
  <si>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</si>
  <si>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</si>
  <si>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</si>
  <si>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</si>
  <si>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</si>
  <si>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</si>
  <si>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</si>
  <si>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</si>
  <si>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</si>
  <si>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</si>
  <si>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</si>
  <si>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</si>
  <si>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</si>
  <si>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</si>
  <si>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</si>
  <si>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</si>
  <si>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</si>
  <si>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</si>
  <si>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</si>
  <si>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</si>
  <si>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</si>
  <si>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</si>
  <si>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</si>
  <si>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</si>
  <si>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</si>
  <si>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</si>
  <si>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</si>
  <si>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</si>
  <si>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</si>
  <si>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</si>
  <si>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</si>
  <si>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</si>
  <si>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</si>
  <si>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</si>
  <si>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</si>
  <si>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</si>
  <si>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</si>
  <si>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</si>
  <si>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</si>
  <si>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</si>
  <si>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</si>
  <si>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</si>
  <si>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</si>
  <si>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</si>
  <si>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</si>
  <si>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</si>
  <si>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</si>
  <si>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</si>
  <si>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</si>
  <si>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</si>
  <si>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</si>
  <si>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</si>
  <si>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</si>
  <si>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</si>
  <si>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</si>
  <si>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</si>
  <si>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</si>
  <si>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</si>
  <si>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</si>
  <si>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</si>
  <si>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</si>
  <si>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</si>
  <si>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</si>
  <si>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</si>
  <si>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</si>
  <si>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</si>
  <si>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</si>
  <si>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</si>
  <si>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</si>
  <si>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</si>
  <si>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</si>
  <si>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</si>
  <si>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</si>
  <si>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</si>
  <si>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</si>
  <si>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</si>
  <si>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</si>
  <si>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</si>
  <si>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</si>
  <si>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</si>
  <si>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</si>
  <si>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</si>
  <si>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</si>
  <si>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</si>
  <si>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</si>
  <si>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</si>
  <si>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</si>
  <si>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</si>
  <si>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</si>
  <si>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</si>
  <si>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</si>
  <si>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</si>
  <si>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</si>
  <si>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</si>
  <si>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</si>
  <si>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</si>
  <si>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</si>
  <si>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</si>
  <si>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</si>
  <si>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</si>
  <si>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</si>
  <si>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</si>
  <si>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</si>
  <si>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</si>
  <si>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</si>
  <si>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</si>
  <si>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</si>
  <si>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</si>
  <si>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</si>
  <si>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</si>
  <si>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</si>
  <si>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</si>
  <si>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</si>
  <si>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</si>
  <si>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</si>
  <si>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</si>
  <si>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</si>
  <si>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</si>
  <si>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</si>
  <si>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</si>
  <si>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</si>
  <si>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</si>
  <si>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</si>
  <si>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</si>
  <si>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</si>
  <si>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</si>
  <si>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</si>
  <si>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</si>
  <si>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</si>
  <si>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</si>
  <si>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</si>
  <si>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</si>
  <si>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</si>
  <si>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</si>
  <si>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</si>
  <si>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</si>
  <si>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</si>
  <si>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</si>
  <si>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</si>
  <si>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</si>
  <si>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</si>
  <si>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</si>
  <si>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</si>
  <si>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</si>
  <si>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</si>
  <si>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</si>
  <si>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</si>
  <si>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</si>
  <si>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</si>
  <si>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</si>
  <si>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</si>
  <si>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</si>
  <si>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</si>
  <si>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</si>
  <si>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</si>
  <si>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</si>
  <si>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</si>
  <si>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</si>
  <si>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</si>
  <si>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</si>
  <si>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</si>
  <si>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</si>
  <si>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</si>
  <si>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</si>
  <si>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</si>
  <si>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</si>
  <si>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</si>
  <si>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</si>
  <si>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</si>
  <si>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</si>
  <si>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</si>
  <si>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</si>
  <si>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</si>
  <si>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</si>
  <si>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</si>
  <si>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</si>
  <si>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</si>
  <si>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</si>
  <si>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</si>
  <si>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</si>
  <si>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</si>
  <si>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</si>
  <si>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</si>
  <si>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</si>
  <si>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</si>
  <si>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</si>
  <si>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</si>
  <si>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</si>
  <si>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</si>
  <si>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</si>
  <si>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</si>
  <si>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</si>
  <si>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</si>
  <si>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</si>
  <si>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</si>
  <si>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</si>
  <si>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</si>
  <si>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</si>
  <si>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</si>
  <si>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</si>
  <si>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</si>
  <si>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</si>
  <si>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</si>
  <si>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</si>
  <si>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</si>
  <si>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</si>
  <si>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</si>
  <si>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</si>
  <si>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</si>
  <si>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</si>
  <si>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</si>
  <si>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</si>
  <si>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</si>
  <si>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</si>
  <si>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</si>
  <si>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</si>
  <si>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</si>
  <si>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</si>
  <si>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</si>
  <si>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</si>
  <si>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</si>
  <si>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</si>
  <si>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</si>
  <si>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</si>
  <si>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</si>
  <si>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</si>
  <si>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</si>
  <si>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</si>
  <si>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</si>
  <si>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</si>
  <si>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</si>
  <si>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</si>
  <si>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</si>
  <si>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</si>
  <si>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</si>
  <si>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</si>
  <si>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</si>
  <si>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</si>
  <si>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</si>
  <si>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</si>
  <si>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</si>
  <si>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</si>
  <si>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</si>
  <si>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</si>
  <si>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</si>
  <si>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</si>
  <si>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</si>
  <si>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</si>
  <si>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</si>
  <si>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</si>
  <si>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</si>
  <si>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</si>
  <si>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</si>
  <si>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</si>
  <si>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</si>
  <si>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</si>
  <si>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</si>
  <si>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</si>
  <si>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</si>
  <si>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</si>
  <si>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</si>
  <si>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</si>
  <si>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</si>
  <si>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</si>
  <si>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</si>
  <si>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</si>
  <si>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</si>
  <si>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</si>
  <si>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</si>
  <si>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</si>
  <si>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</si>
  <si>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</si>
  <si>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</si>
  <si>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</si>
  <si>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</si>
  <si>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</si>
  <si>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</si>
  <si>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</si>
  <si>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</si>
  <si>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</si>
  <si>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</si>
  <si>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</si>
  <si>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</si>
  <si>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</si>
  <si>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</si>
  <si>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</si>
  <si>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</si>
  <si>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</si>
  <si>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</si>
  <si>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</si>
  <si>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</si>
  <si>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</si>
  <si>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</si>
  <si>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</si>
  <si>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</si>
  <si>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</si>
  <si>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</si>
  <si>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</si>
  <si>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</si>
  <si>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</si>
  <si>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</si>
  <si>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</si>
  <si>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</si>
  <si>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</si>
  <si>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</si>
  <si>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</si>
  <si>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</si>
  <si>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</si>
  <si>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</si>
  <si>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</si>
  <si>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</si>
  <si>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</si>
  <si>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</si>
  <si>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</si>
  <si>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</si>
  <si>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</si>
  <si>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</si>
  <si>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</si>
  <si>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</si>
  <si>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</si>
  <si>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</si>
  <si>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</si>
  <si>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</si>
  <si>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</si>
  <si>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</si>
  <si>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</si>
  <si>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</si>
  <si>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</si>
  <si>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</si>
  <si>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</si>
  <si>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</si>
  <si>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</si>
  <si>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</si>
  <si>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</si>
  <si>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</si>
  <si>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</si>
  <si>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</si>
  <si>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</si>
  <si>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</si>
  <si>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</si>
  <si>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</si>
  <si>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</si>
  <si>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</si>
  <si>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</si>
  <si>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</si>
  <si>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</si>
  <si>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</si>
  <si>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</si>
  <si>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</si>
  <si>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</si>
  <si>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</si>
  <si>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</si>
  <si>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</si>
  <si>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</si>
  <si>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</si>
  <si>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</si>
  <si>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</si>
  <si>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</si>
  <si>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</si>
  <si>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</si>
  <si>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</si>
  <si>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</si>
  <si>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</si>
  <si>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</si>
  <si>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</si>
  <si>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</si>
  <si>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</si>
  <si>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</si>
  <si>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</si>
  <si>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</si>
  <si>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</si>
  <si>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</si>
  <si>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</si>
  <si>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</si>
  <si>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</si>
  <si>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</si>
  <si>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</si>
  <si>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</si>
  <si>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</si>
  <si>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</si>
  <si>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</si>
  <si>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</si>
  <si>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</si>
  <si>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</si>
  <si>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</si>
  <si>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</si>
  <si>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</si>
  <si>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</si>
  <si>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</si>
  <si>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</si>
  <si>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</si>
  <si>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</si>
  <si>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</si>
  <si>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</si>
  <si>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</si>
  <si>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</si>
  <si>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</si>
  <si>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</si>
  <si>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</si>
  <si>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</si>
  <si>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</si>
  <si>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</si>
  <si>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</si>
  <si>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</si>
  <si>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</si>
  <si>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</si>
  <si>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</si>
  <si>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</si>
  <si>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</si>
  <si>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</si>
  <si>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</si>
  <si>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</si>
  <si>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</si>
  <si>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</si>
  <si>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</si>
  <si>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</si>
  <si>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</si>
  <si>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</si>
  <si>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</si>
  <si>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</si>
  <si>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</si>
  <si>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</si>
  <si>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</si>
  <si>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</si>
  <si>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</si>
  <si>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</si>
  <si>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</si>
  <si>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</si>
  <si>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</si>
  <si>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</si>
  <si>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</si>
  <si>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</si>
  <si>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</si>
  <si>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</si>
  <si>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</si>
  <si>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</si>
  <si>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</si>
  <si>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</si>
  <si>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</si>
  <si>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</si>
  <si>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</si>
  <si>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</si>
  <si>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</si>
  <si>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</si>
  <si>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</si>
  <si>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</si>
  <si>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</si>
  <si>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</si>
  <si>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</si>
  <si>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</si>
  <si>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</si>
  <si>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</si>
  <si>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</si>
  <si>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</si>
  <si>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</si>
  <si>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</si>
  <si>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</si>
  <si>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</si>
  <si>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</si>
  <si>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</si>
  <si>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</si>
  <si>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</si>
  <si>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</si>
  <si>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</si>
  <si>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</si>
  <si>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</si>
  <si>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</si>
  <si>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</si>
  <si>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</si>
  <si>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</si>
  <si>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</si>
  <si>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</si>
  <si>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</si>
  <si>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</si>
  <si>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</si>
  <si>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</si>
  <si>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</si>
  <si>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</si>
  <si>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</si>
  <si>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</si>
  <si>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</si>
  <si>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</si>
  <si>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</si>
  <si>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</si>
  <si>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</si>
  <si>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</si>
  <si>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</si>
  <si>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</si>
  <si>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</si>
  <si>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</si>
  <si>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</si>
  <si>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</si>
  <si>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</si>
  <si>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</si>
  <si>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</si>
  <si>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</si>
  <si>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</si>
  <si>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</si>
  <si>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</si>
  <si>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</si>
  <si>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</si>
  <si>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</si>
  <si>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</si>
  <si>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</si>
  <si>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</si>
  <si>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</si>
  <si>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</si>
  <si>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</si>
  <si>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</si>
  <si>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</si>
  <si>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</si>
  <si>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</si>
  <si>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</si>
  <si>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</si>
  <si>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</si>
  <si>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</si>
  <si>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</si>
  <si>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</si>
  <si>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</si>
  <si>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</si>
  <si>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</si>
  <si>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</si>
  <si>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</si>
  <si>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</si>
  <si>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</si>
  <si>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</si>
  <si>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</si>
  <si>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</si>
  <si>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</si>
  <si>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</si>
  <si>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</si>
  <si>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</si>
  <si>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</si>
  <si>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</si>
  <si>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</si>
  <si>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</si>
  <si>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</si>
  <si>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</si>
  <si>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</si>
  <si>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</si>
  <si>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</si>
  <si>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</si>
  <si>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</si>
  <si>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</si>
  <si>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</si>
  <si>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</si>
  <si>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</si>
  <si>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</si>
  <si>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</si>
  <si>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</si>
  <si>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</si>
  <si>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</si>
  <si>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</si>
  <si>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</si>
  <si>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</si>
  <si>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</si>
  <si>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</si>
  <si>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</si>
  <si>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</si>
  <si>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</si>
  <si>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</si>
  <si>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</si>
  <si>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</si>
  <si>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</si>
  <si>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</si>
  <si>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</si>
  <si>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</si>
  <si>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</si>
  <si>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</si>
  <si>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</si>
  <si>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</si>
  <si>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</si>
  <si>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</si>
  <si>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</si>
  <si>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</si>
  <si>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</si>
  <si>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</si>
  <si>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</si>
  <si>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</si>
  <si>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</si>
  <si>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</si>
  <si>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</si>
  <si>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</si>
  <si>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</si>
  <si>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</si>
  <si>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</si>
  <si>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</si>
  <si>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</si>
  <si>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</si>
  <si>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</si>
  <si>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</si>
  <si>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</si>
  <si>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</si>
  <si>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</si>
  <si>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</si>
  <si>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</si>
  <si>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</si>
  <si>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</si>
  <si>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</si>
  <si>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</si>
  <si>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</si>
  <si>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</si>
  <si>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</si>
  <si>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</si>
  <si>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</si>
  <si>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</si>
  <si>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</si>
  <si>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</si>
  <si>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</si>
  <si>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</si>
  <si>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</si>
  <si>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</si>
  <si>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</si>
  <si>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</si>
  <si>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</si>
  <si>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</si>
  <si>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</si>
  <si>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</si>
  <si>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</si>
  <si>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</si>
  <si>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</si>
  <si>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</si>
  <si>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</si>
  <si>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</si>
  <si>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</si>
  <si>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</si>
  <si>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</si>
  <si>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</si>
  <si>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</si>
  <si>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</si>
  <si>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</si>
  <si>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</si>
  <si>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</si>
  <si>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</si>
  <si>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</si>
  <si>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</si>
  <si>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</si>
  <si>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</si>
  <si>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</si>
  <si>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</si>
  <si>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</si>
  <si>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</si>
  <si>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</si>
  <si>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</si>
  <si>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</si>
  <si>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</si>
  <si>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</si>
  <si>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</si>
  <si>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</si>
  <si>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</si>
  <si>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</si>
  <si>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</si>
  <si>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</si>
  <si>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</si>
  <si>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</si>
  <si>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</si>
  <si>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</si>
  <si>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</si>
  <si>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</si>
  <si>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</si>
  <si>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</si>
  <si>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</si>
  <si>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</si>
  <si>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</si>
  <si>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</si>
  <si>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</si>
  <si>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</si>
  <si>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</si>
  <si>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</si>
  <si>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</si>
  <si>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</si>
  <si>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</si>
  <si>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</si>
  <si>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</si>
  <si>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</si>
  <si>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</si>
  <si>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</si>
  <si>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</si>
  <si>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</si>
  <si>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</si>
  <si>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</si>
  <si>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</si>
  <si>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</si>
  <si>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</si>
  <si>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</si>
  <si>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</si>
  <si>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</si>
  <si>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</si>
  <si>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</si>
  <si>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</si>
  <si>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</si>
  <si>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</si>
  <si>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</si>
  <si>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</si>
  <si>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</si>
  <si>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</si>
  <si>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</si>
  <si>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</si>
  <si>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</si>
  <si>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</si>
  <si>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</si>
  <si>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</si>
  <si>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</si>
  <si>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</si>
  <si>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</si>
  <si>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</si>
  <si>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</si>
  <si>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</si>
  <si>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</si>
  <si>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</si>
  <si>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</si>
  <si>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</si>
  <si>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</si>
  <si>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</si>
  <si>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</si>
  <si>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</si>
  <si>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</si>
  <si>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</si>
  <si>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</si>
  <si>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</si>
  <si>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</si>
  <si>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</si>
  <si>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</si>
  <si>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</si>
  <si>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</si>
  <si>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</si>
  <si>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</si>
  <si>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</si>
  <si>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</si>
  <si>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</si>
  <si>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</si>
  <si>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</si>
  <si>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</si>
  <si>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</si>
  <si>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</si>
  <si>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</si>
  <si>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</si>
  <si>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</si>
  <si>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</si>
  <si>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</si>
  <si>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</si>
  <si>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</si>
  <si>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</si>
  <si>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</si>
  <si>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</si>
  <si>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</si>
  <si>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</si>
  <si>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</si>
  <si>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</si>
  <si>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</si>
  <si>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</si>
  <si>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</si>
  <si>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</si>
  <si>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</si>
  <si>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</si>
  <si>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</si>
  <si>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</si>
  <si>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</si>
  <si>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</si>
  <si>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</si>
  <si>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</si>
  <si>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</si>
  <si>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</si>
  <si>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</si>
  <si>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</si>
  <si>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</si>
  <si>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</si>
  <si>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</si>
  <si>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</si>
  <si>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</si>
  <si>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</si>
  <si>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</si>
  <si>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</si>
  <si>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</si>
  <si>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</si>
  <si>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</si>
  <si>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</si>
  <si>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</si>
  <si>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</si>
  <si>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</si>
  <si>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</si>
  <si>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</si>
  <si>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</si>
  <si>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</si>
  <si>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</si>
  <si>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</si>
  <si>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</si>
  <si>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</si>
  <si>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</si>
  <si>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</si>
  <si>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</si>
  <si>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</si>
  <si>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</si>
  <si>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</si>
  <si>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</si>
  <si>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</si>
  <si>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</si>
  <si>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</si>
  <si>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</si>
  <si>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</si>
  <si>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</si>
  <si>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</si>
  <si>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</si>
  <si>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</si>
  <si>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</si>
  <si>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</si>
  <si>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</si>
  <si>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</si>
  <si>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</si>
  <si>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</si>
  <si>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</si>
  <si>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</si>
  <si>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</si>
  <si>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</si>
  <si>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</si>
  <si>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</si>
  <si>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</si>
  <si>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</si>
  <si>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</si>
  <si>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</si>
  <si>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</si>
  <si>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</si>
  <si>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</si>
  <si>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</si>
  <si>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</si>
  <si>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</si>
  <si>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</si>
  <si>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</si>
  <si>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</si>
  <si>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</si>
  <si>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</si>
  <si>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</si>
  <si>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</si>
  <si>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</si>
  <si>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</si>
  <si>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</si>
  <si>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</si>
  <si>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</si>
  <si>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</si>
  <si>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</si>
  <si>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</si>
  <si>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</si>
  <si>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</si>
  <si>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</si>
  <si>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</si>
  <si>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</si>
  <si>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</si>
  <si>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</si>
  <si>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</si>
  <si>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</si>
  <si>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</si>
  <si>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</si>
  <si>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</si>
  <si>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</si>
  <si>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</si>
  <si>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</si>
  <si>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</si>
  <si>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</si>
  <si>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</si>
  <si>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</si>
  <si>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</si>
  <si>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</si>
  <si>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</si>
  <si>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</si>
  <si>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</si>
  <si>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</si>
  <si>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</si>
  <si>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</si>
  <si>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</si>
  <si>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</si>
  <si>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</si>
  <si>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</si>
  <si>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</si>
  <si>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</si>
  <si>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</si>
  <si>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</si>
  <si>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</si>
  <si>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</si>
  <si>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</si>
  <si>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</si>
  <si>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</si>
  <si>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</si>
  <si>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</si>
  <si>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</si>
  <si>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</si>
  <si>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</si>
  <si>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</si>
  <si>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</si>
  <si>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</si>
  <si>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</si>
  <si>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</si>
  <si>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</si>
  <si>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</si>
  <si>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</si>
  <si>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</si>
  <si>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</si>
  <si>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</si>
  <si>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</si>
  <si>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</si>
  <si>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</si>
  <si>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</si>
  <si>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</si>
  <si>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</si>
  <si>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</si>
  <si>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</si>
  <si>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</si>
  <si>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</si>
  <si>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</si>
  <si>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</si>
  <si>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</si>
  <si>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</si>
  <si>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</si>
  <si>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</si>
  <si>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</si>
  <si>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</si>
  <si>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</si>
  <si>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</si>
  <si>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</si>
  <si>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</si>
  <si>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</si>
  <si>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</si>
  <si>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</si>
  <si>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</si>
  <si>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</si>
  <si>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</si>
  <si>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</si>
  <si>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</si>
  <si>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</si>
  <si>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</si>
  <si>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</si>
  <si>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</si>
  <si>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</si>
  <si>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</si>
  <si>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</si>
  <si>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</si>
  <si>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</si>
  <si>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</si>
  <si>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</si>
  <si>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</si>
  <si>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</si>
  <si>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</si>
  <si>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</si>
  <si>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</si>
  <si>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</si>
  <si>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</si>
  <si>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</si>
  <si>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</si>
  <si>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</si>
  <si>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</si>
  <si>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</si>
  <si>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</si>
  <si>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</si>
  <si>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</si>
  <si>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</si>
  <si>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</si>
  <si>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</si>
  <si>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</si>
  <si>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</si>
  <si>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</si>
  <si>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</si>
  <si>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</si>
  <si>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</si>
  <si>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</si>
  <si>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</si>
  <si>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</si>
  <si>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</si>
  <si>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</si>
  <si>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</si>
  <si>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</si>
  <si>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</si>
  <si>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</si>
  <si>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</si>
  <si>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</si>
  <si>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</si>
  <si>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</si>
  <si>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</si>
  <si>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</si>
  <si>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</si>
  <si>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</si>
  <si>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</si>
  <si>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</si>
  <si>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</si>
  <si>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</si>
  <si>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</si>
  <si>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</si>
  <si>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</si>
  <si>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</si>
  <si>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</si>
  <si>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</si>
  <si>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</si>
  <si>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</si>
  <si>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</si>
  <si>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</si>
  <si>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</si>
  <si>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</si>
  <si>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</si>
  <si>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</si>
  <si>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</si>
  <si>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</si>
  <si>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</si>
  <si>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</si>
  <si>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</si>
  <si>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</si>
  <si>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</si>
  <si>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</si>
  <si>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</si>
  <si>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</si>
  <si>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</si>
  <si>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</si>
  <si>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</si>
  <si>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</si>
  <si>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</si>
  <si>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</si>
  <si>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</si>
  <si>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</si>
  <si>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</si>
  <si>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</si>
  <si>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</si>
  <si>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</si>
  <si>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</si>
  <si>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</si>
  <si>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</si>
  <si>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</si>
  <si>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</si>
  <si>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</si>
  <si>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</si>
  <si>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</si>
  <si>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</si>
  <si>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</si>
  <si>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</si>
  <si>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</si>
  <si>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</si>
  <si>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</si>
  <si>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</si>
  <si>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</si>
  <si>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</si>
  <si>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</si>
  <si>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</si>
  <si>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</si>
  <si>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</si>
  <si>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</si>
  <si>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</si>
  <si>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</si>
  <si>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</si>
  <si>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</si>
  <si>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</si>
  <si>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</si>
  <si>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</si>
  <si>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</si>
  <si>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</si>
  <si>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</si>
  <si>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</si>
  <si>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</si>
  <si>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</si>
  <si>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</si>
  <si>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</si>
  <si>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</si>
  <si>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</si>
  <si>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</si>
  <si>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</si>
  <si>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</si>
  <si>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</si>
  <si>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</si>
  <si>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</si>
  <si>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</si>
  <si>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</si>
  <si>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</si>
  <si>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</si>
  <si>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</si>
  <si>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</si>
  <si>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</si>
  <si>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</si>
  <si>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</si>
  <si>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</si>
  <si>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</si>
  <si>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</si>
  <si>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</si>
  <si>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</si>
  <si>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</si>
  <si>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</si>
  <si>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</si>
  <si>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</si>
  <si>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</si>
  <si>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</si>
  <si>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</si>
  <si>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</si>
  <si>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</si>
  <si>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</si>
  <si>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</si>
  <si>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</si>
  <si>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</si>
  <si>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</si>
  <si>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</si>
  <si>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</si>
  <si>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</si>
  <si>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</si>
  <si>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</si>
  <si>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</si>
  <si>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</si>
  <si>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</si>
  <si>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</si>
  <si>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</si>
  <si>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</si>
  <si>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</si>
  <si>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</si>
  <si>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</si>
  <si>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</si>
  <si>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</si>
  <si>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</si>
  <si>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</si>
  <si>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</si>
  <si>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</si>
  <si>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</si>
  <si>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</si>
  <si>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</si>
  <si>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</si>
  <si>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</si>
  <si>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</si>
  <si>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</si>
  <si>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</si>
  <si>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</si>
  <si>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</si>
  <si>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</si>
  <si>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</si>
  <si>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</si>
  <si>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</si>
  <si>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</si>
  <si>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</si>
  <si>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</si>
  <si>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</si>
  <si>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</si>
  <si>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</si>
  <si>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</si>
  <si>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</si>
  <si>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</si>
  <si>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</si>
  <si>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</si>
  <si>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</si>
  <si>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</si>
  <si>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</si>
  <si>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</si>
  <si>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</si>
  <si>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</si>
  <si>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</si>
  <si>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</si>
  <si>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</si>
  <si>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</si>
  <si>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</si>
  <si>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</si>
  <si>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</si>
  <si>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</si>
  <si>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</si>
  <si>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</si>
  <si>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</si>
  <si>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</si>
  <si>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</si>
  <si>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</si>
  <si>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</si>
  <si>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</si>
  <si>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</si>
  <si>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</si>
  <si>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</si>
  <si>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</si>
  <si>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</si>
  <si>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</si>
  <si>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</si>
  <si>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</si>
  <si>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</si>
  <si>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</si>
  <si>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</si>
  <si>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</si>
  <si>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</si>
  <si>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</si>
  <si>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</si>
  <si>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</si>
  <si>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</si>
  <si>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</si>
  <si>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</si>
  <si>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</si>
  <si>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</si>
  <si>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</si>
  <si>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</si>
  <si>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</si>
  <si>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</si>
  <si>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</si>
  <si>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</si>
  <si>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</si>
  <si>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</si>
  <si>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</si>
  <si>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</si>
  <si>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</si>
  <si>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</si>
  <si>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</si>
  <si>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</si>
  <si>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</si>
  <si>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</si>
  <si>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</si>
  <si>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</si>
  <si>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</si>
  <si>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</si>
  <si>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</si>
  <si>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</si>
  <si>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</si>
  <si>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</si>
  <si>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</si>
  <si>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</si>
  <si>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</si>
  <si>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</si>
  <si>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</si>
  <si>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</si>
  <si>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</si>
  <si>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</si>
  <si>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</si>
  <si>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</si>
  <si>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</si>
  <si>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</si>
  <si>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</si>
  <si>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</si>
  <si>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</si>
  <si>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</si>
  <si>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</si>
  <si>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</si>
  <si>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</si>
  <si>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</si>
  <si>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</si>
  <si>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</si>
  <si>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</si>
  <si>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</si>
  <si>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</si>
  <si>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</si>
  <si>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</si>
  <si>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</si>
  <si>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</si>
  <si>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</si>
  <si>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</si>
  <si>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</si>
  <si>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</si>
  <si>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</si>
  <si>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</si>
  <si>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</si>
  <si>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</si>
  <si>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</si>
  <si>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</si>
  <si>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</si>
  <si>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</si>
  <si>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</si>
  <si>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</si>
  <si>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</si>
  <si>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</si>
  <si>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</si>
  <si>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</si>
  <si>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</si>
  <si>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</si>
  <si>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</si>
  <si>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</si>
  <si>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</si>
  <si>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</si>
  <si>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</si>
  <si>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</si>
  <si>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</si>
  <si>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</si>
  <si>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</si>
  <si>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</si>
  <si>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</si>
  <si>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</si>
  <si>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</si>
  <si>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</si>
  <si>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</si>
  <si>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</si>
  <si>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</si>
  <si>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</si>
  <si>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</si>
  <si>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</si>
  <si>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</si>
  <si>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</si>
  <si>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</si>
  <si>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</si>
  <si>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</si>
  <si>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</si>
  <si>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</si>
  <si>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</si>
  <si>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</si>
  <si>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</si>
  <si>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</si>
  <si>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</si>
  <si>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</si>
  <si>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</si>
  <si>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</si>
  <si>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</si>
  <si>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</si>
  <si>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</si>
  <si>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</si>
  <si>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</si>
  <si>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</si>
  <si>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</si>
  <si>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</si>
  <si>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</si>
  <si>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</si>
  <si>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</si>
  <si>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</si>
  <si>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</si>
  <si>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</si>
  <si>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</si>
  <si>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</si>
  <si>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</si>
  <si>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</si>
  <si>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</si>
  <si>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</si>
  <si>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</si>
  <si>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</si>
  <si>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</si>
  <si>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</si>
  <si>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</si>
  <si>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</si>
  <si>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</si>
  <si>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</si>
  <si>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</si>
  <si>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</si>
  <si>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</si>
  <si>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</si>
  <si>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</si>
  <si>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</si>
  <si>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</si>
  <si>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</si>
  <si>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</si>
  <si>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</si>
  <si>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</si>
  <si>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</si>
  <si>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</si>
  <si>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</si>
  <si>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</si>
  <si>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</si>
  <si>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</si>
  <si>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</si>
  <si>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</si>
  <si>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</si>
  <si>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</si>
  <si>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</si>
  <si>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</si>
  <si>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</si>
  <si>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</si>
  <si>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</si>
  <si>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</si>
  <si>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</si>
  <si>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</si>
  <si>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</si>
  <si>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</si>
  <si>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</si>
  <si>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</si>
  <si>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</si>
  <si>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</si>
  <si>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</si>
  <si>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</si>
  <si>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</si>
  <si>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</si>
  <si>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</si>
  <si>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</si>
  <si>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</si>
  <si>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</si>
  <si>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</si>
  <si>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</si>
  <si>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</si>
  <si>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</si>
  <si>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</si>
  <si>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</si>
  <si>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</si>
  <si>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</si>
  <si>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</si>
  <si>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</si>
  <si>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</si>
  <si>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</si>
  <si>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</si>
  <si>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</si>
  <si>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</si>
  <si>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</si>
  <si>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</si>
  <si>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</si>
  <si>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</si>
  <si>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</si>
  <si>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</si>
  <si>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</si>
  <si>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</si>
  <si>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</si>
  <si>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</si>
  <si>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</si>
  <si>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</si>
  <si>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</si>
  <si>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</si>
  <si>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</si>
  <si>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</si>
  <si>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</si>
  <si>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</si>
  <si>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</si>
  <si>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</si>
  <si>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</si>
  <si>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</si>
  <si>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</si>
  <si>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</si>
  <si>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</si>
  <si>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</si>
  <si>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</si>
  <si>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</si>
  <si>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</si>
  <si>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</si>
  <si>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</si>
  <si>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</si>
  <si>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</si>
  <si>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</si>
  <si>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</si>
  <si>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</si>
  <si>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</si>
  <si>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</si>
  <si>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</si>
  <si>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</si>
  <si>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</si>
  <si>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</si>
  <si>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</si>
  <si>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</si>
  <si>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</si>
  <si>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</si>
  <si>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</si>
  <si>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</si>
  <si>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</si>
  <si>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</si>
  <si>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</si>
  <si>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</si>
  <si>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</si>
  <si>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</si>
  <si>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</si>
  <si>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</si>
  <si>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</si>
  <si>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</si>
  <si>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</si>
  <si>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</si>
  <si>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</si>
  <si>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</si>
  <si>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</si>
  <si>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</si>
  <si>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</si>
  <si>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</si>
  <si>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</si>
  <si>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</si>
  <si>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</si>
  <si>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</si>
  <si>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</si>
  <si>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</si>
  <si>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</si>
  <si>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</si>
  <si>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</si>
  <si>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</si>
  <si>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</si>
  <si>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</si>
  <si>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</si>
  <si>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</si>
  <si>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</si>
  <si>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</si>
  <si>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</si>
  <si>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</si>
  <si>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</si>
  <si>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</si>
  <si>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</si>
  <si>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</si>
  <si>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</si>
  <si>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</si>
  <si>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</si>
  <si>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</si>
  <si>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</si>
  <si>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</si>
  <si>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</si>
  <si>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</si>
  <si>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</si>
  <si>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</si>
  <si>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</si>
  <si>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</si>
  <si>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</si>
  <si>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</si>
  <si>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</si>
  <si>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</si>
  <si>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</si>
  <si>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</si>
  <si>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</si>
  <si>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</si>
  <si>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</si>
  <si>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</si>
  <si>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</si>
  <si>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</si>
  <si>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</si>
  <si>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</si>
  <si>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</si>
  <si>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</si>
  <si>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</si>
  <si>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</si>
  <si>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</si>
  <si>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</si>
  <si>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</si>
  <si>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</si>
  <si>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</si>
  <si>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</si>
  <si>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</si>
  <si>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</si>
  <si>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</si>
  <si>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</si>
  <si>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</si>
  <si>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</si>
  <si>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</si>
  <si>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</si>
  <si>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</si>
  <si>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</si>
  <si>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</si>
  <si>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</si>
  <si>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</si>
  <si>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</si>
  <si>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</si>
  <si>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</si>
  <si>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</si>
  <si>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</si>
  <si>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</si>
  <si>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</si>
  <si>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</si>
  <si>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</si>
  <si>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</si>
  <si>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</si>
  <si>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</si>
  <si>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</si>
  <si>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</si>
  <si>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</si>
  <si>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</si>
  <si>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</si>
  <si>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</si>
  <si>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</si>
  <si>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</si>
  <si>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</si>
  <si>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</si>
  <si>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</si>
  <si>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</si>
  <si>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</si>
  <si>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</si>
  <si>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</si>
  <si>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</si>
  <si>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</si>
  <si>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</si>
  <si>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</si>
  <si>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</si>
  <si>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</si>
  <si>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</si>
  <si>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</si>
  <si>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</si>
  <si>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</si>
  <si>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</si>
  <si>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</si>
  <si>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</si>
  <si>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</si>
  <si>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</si>
  <si>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</si>
  <si>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</si>
  <si>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</si>
  <si>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</si>
  <si>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</si>
  <si>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</si>
  <si>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</si>
  <si>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</si>
  <si>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</si>
  <si>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</si>
  <si>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</si>
  <si>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</si>
  <si>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</si>
  <si>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</si>
  <si>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</si>
  <si>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</si>
  <si>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</si>
  <si>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</si>
  <si>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</si>
  <si>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</si>
  <si>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</si>
  <si>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</si>
  <si>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</si>
  <si>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</si>
  <si>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</si>
  <si>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</si>
  <si>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</si>
  <si>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</si>
  <si>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</si>
  <si>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</si>
  <si>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</si>
  <si>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</si>
  <si>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</si>
  <si>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</si>
  <si>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</si>
  <si>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</si>
  <si>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</si>
  <si>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</si>
  <si>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</si>
  <si>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</si>
  <si>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</si>
  <si>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</si>
  <si>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</si>
  <si>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</si>
  <si>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</si>
  <si>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</si>
  <si>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</si>
  <si>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</si>
  <si>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</si>
  <si>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</si>
  <si>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</si>
  <si>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</si>
  <si>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</si>
  <si>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</si>
  <si>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</si>
  <si>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</si>
  <si>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</si>
  <si>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</si>
  <si>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</si>
  <si>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</si>
  <si>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</si>
  <si>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</si>
  <si>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</si>
  <si>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</si>
  <si>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</si>
  <si>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</si>
  <si>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</si>
  <si>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</si>
  <si>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</si>
  <si>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</si>
  <si>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</si>
  <si>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</si>
  <si>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</si>
  <si>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</si>
  <si>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</si>
  <si>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</si>
  <si>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</si>
  <si>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</si>
  <si>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</si>
  <si>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</si>
  <si>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</si>
  <si>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</si>
  <si>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</si>
  <si>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</si>
  <si>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</si>
  <si>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</si>
  <si>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</si>
  <si>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</si>
  <si>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</si>
  <si>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</si>
  <si>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</si>
  <si>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</si>
  <si>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</si>
  <si>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</si>
  <si>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</si>
  <si>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</si>
  <si>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</si>
  <si>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</si>
  <si>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</si>
  <si>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</si>
  <si>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</si>
  <si>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</si>
  <si>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</si>
  <si>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</si>
  <si>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</si>
  <si>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</si>
  <si>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</si>
  <si>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</si>
  <si>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</si>
  <si>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</si>
  <si>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</si>
  <si>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</si>
  <si>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</si>
  <si>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</si>
  <si>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</si>
  <si>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</si>
  <si>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</si>
  <si>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</si>
  <si>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</si>
  <si>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</si>
  <si>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</si>
  <si>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</si>
  <si>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</si>
  <si>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</si>
  <si>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</si>
  <si>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</si>
  <si>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</si>
  <si>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</si>
  <si>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</si>
  <si>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</si>
  <si>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</si>
  <si>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</si>
  <si>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</si>
  <si>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</si>
  <si>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</si>
  <si>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</si>
  <si>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</si>
  <si>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</si>
  <si>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</si>
  <si>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</si>
  <si>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</si>
  <si>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</si>
  <si>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</si>
  <si>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</si>
  <si>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</si>
  <si>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</si>
  <si>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</si>
  <si>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</si>
  <si>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</si>
  <si>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</si>
  <si>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</si>
  <si>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</si>
  <si>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</si>
  <si>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</si>
  <si>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</si>
  <si>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</si>
  <si>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</si>
  <si>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</si>
  <si>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</si>
  <si>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</si>
  <si>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</si>
  <si>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</si>
  <si>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</si>
  <si>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</si>
  <si>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</si>
  <si>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</si>
  <si>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</si>
  <si>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</si>
  <si>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</si>
  <si>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</si>
  <si>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</si>
  <si>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</si>
  <si>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</si>
  <si>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</si>
  <si>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</si>
  <si>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</si>
  <si>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</si>
  <si>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</si>
  <si>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</si>
  <si>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</si>
  <si>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</si>
  <si>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</si>
  <si>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</si>
  <si>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</si>
  <si>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</si>
  <si>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</si>
  <si>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</si>
  <si>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</si>
  <si>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</si>
  <si>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</si>
  <si>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</si>
  <si>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</si>
  <si>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</si>
  <si>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</si>
  <si>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</si>
  <si>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</si>
  <si>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</si>
  <si>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</si>
  <si>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</si>
  <si>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</si>
  <si>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</si>
  <si>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</si>
  <si>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</si>
  <si>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</si>
  <si>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</si>
  <si>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</si>
  <si>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</si>
  <si>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</si>
  <si>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</si>
  <si>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</si>
  <si>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</si>
  <si>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</si>
  <si>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</si>
  <si>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</si>
  <si>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</si>
  <si>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</si>
  <si>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</si>
  <si>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</si>
  <si>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</si>
  <si>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</si>
  <si>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</si>
  <si>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</si>
  <si>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</si>
  <si>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</si>
  <si>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</si>
  <si>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</si>
  <si>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</si>
  <si>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</si>
  <si>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</si>
  <si>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</si>
  <si>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</si>
  <si>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</si>
  <si>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</si>
  <si>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</si>
  <si>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</si>
  <si>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</si>
  <si>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</si>
  <si>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</si>
  <si>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</si>
  <si>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</si>
  <si>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</si>
  <si>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</si>
  <si>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</si>
  <si>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</si>
  <si>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</si>
  <si>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</si>
  <si>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</si>
  <si>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</si>
  <si>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</si>
  <si>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</si>
  <si>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</si>
  <si>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</si>
  <si>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</si>
  <si>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</si>
  <si>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</si>
  <si>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</si>
  <si>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</si>
  <si>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</si>
  <si>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</si>
  <si>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</si>
  <si>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</si>
  <si>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</si>
  <si>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</si>
  <si>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</si>
  <si>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</si>
  <si>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</si>
  <si>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</si>
  <si>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</si>
  <si>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</si>
  <si>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</si>
  <si>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</si>
  <si>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</si>
  <si>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</si>
  <si>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</si>
  <si>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</si>
  <si>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</si>
  <si>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</si>
  <si>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</si>
  <si>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</si>
  <si>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</si>
  <si>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</si>
  <si>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</si>
  <si>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</si>
  <si>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</si>
  <si>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</si>
  <si>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</si>
  <si>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</si>
  <si>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</si>
  <si>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</si>
  <si>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</si>
  <si>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</si>
  <si>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</si>
  <si>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</si>
  <si>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</si>
  <si>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</si>
  <si>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</si>
  <si>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</si>
  <si>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</si>
  <si>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</si>
  <si>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</si>
  <si>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</si>
  <si>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</si>
  <si>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</si>
  <si>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</si>
  <si>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</si>
  <si>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</si>
  <si>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</si>
  <si>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</si>
  <si>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</si>
  <si>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</si>
  <si>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</si>
  <si>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</si>
  <si>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</si>
  <si>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</si>
  <si>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</si>
  <si>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</si>
  <si>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</si>
  <si>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</si>
  <si>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</si>
  <si>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</si>
  <si>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</si>
  <si>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</si>
  <si>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</si>
  <si>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</si>
  <si>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</si>
  <si>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</si>
  <si>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</si>
  <si>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</si>
  <si>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</si>
  <si>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</si>
  <si>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</si>
  <si>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</si>
  <si>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</si>
  <si>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</si>
  <si>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</si>
  <si>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</si>
  <si>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</si>
  <si>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</si>
  <si>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</si>
  <si>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</si>
  <si>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</si>
  <si>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</si>
  <si>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</si>
  <si>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</si>
  <si>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</si>
  <si>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</si>
  <si>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</si>
  <si>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</si>
  <si>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</si>
  <si>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</si>
  <si>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</si>
  <si>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</si>
  <si>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</si>
  <si>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</si>
  <si>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</si>
  <si>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</si>
  <si>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</si>
  <si>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</si>
  <si>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</si>
  <si>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</si>
  <si>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</si>
  <si>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</si>
  <si>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</si>
  <si>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</si>
  <si>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</si>
  <si>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</si>
  <si>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</si>
  <si>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</si>
  <si>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</si>
  <si>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</si>
  <si>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</si>
  <si>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</si>
  <si>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</si>
  <si>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</si>
  <si>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</si>
  <si>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</si>
  <si>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</si>
  <si>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</si>
  <si>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</si>
  <si>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</si>
  <si>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</si>
  <si>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</si>
  <si>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</si>
  <si>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</si>
  <si>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</si>
  <si>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</si>
  <si>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</si>
  <si>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</si>
  <si>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</si>
  <si>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</si>
  <si>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</si>
  <si>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</si>
  <si>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</si>
  <si>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</si>
  <si>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</si>
  <si>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</si>
  <si>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</si>
  <si>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</si>
  <si>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</si>
  <si>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</si>
  <si>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</si>
  <si>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</si>
  <si>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</si>
  <si>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</si>
  <si>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</si>
  <si>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</si>
  <si>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</si>
  <si>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</si>
  <si>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</si>
  <si>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</si>
  <si>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</si>
  <si>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</si>
  <si>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</si>
  <si>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</si>
  <si>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</si>
  <si>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</si>
  <si>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</si>
  <si>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</si>
  <si>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</si>
  <si>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</si>
  <si>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</si>
  <si>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</si>
  <si>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</si>
  <si>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</si>
  <si>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</si>
  <si>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</si>
  <si>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</si>
  <si>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</si>
  <si>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</si>
  <si>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</si>
  <si>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</si>
  <si>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</si>
  <si>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</si>
  <si>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</si>
  <si>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</si>
  <si>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</si>
  <si>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</si>
  <si>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</si>
  <si>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</si>
  <si>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</si>
  <si>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</si>
  <si>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</si>
  <si>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</si>
  <si>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</si>
  <si>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</si>
  <si>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</si>
  <si>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</si>
  <si>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</si>
  <si>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</si>
  <si>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</si>
  <si>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</si>
  <si>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</si>
  <si>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</si>
  <si>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</si>
  <si>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</si>
  <si>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</si>
  <si>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</si>
  <si>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</si>
  <si>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</si>
  <si>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</si>
  <si>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</si>
  <si>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</si>
  <si>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</si>
  <si>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</si>
  <si>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</si>
  <si>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</si>
  <si>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</si>
  <si>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</si>
  <si>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</si>
  <si>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</si>
  <si>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</si>
  <si>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</si>
  <si>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</si>
  <si>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</si>
  <si>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</si>
  <si>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</si>
  <si>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</si>
  <si>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</si>
  <si>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</si>
  <si>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</si>
  <si>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</si>
  <si>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</si>
  <si>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</si>
  <si>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</si>
  <si>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</si>
  <si>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</si>
  <si>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</si>
  <si>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</si>
  <si>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</si>
  <si>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</si>
  <si>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</si>
  <si>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</si>
  <si>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</si>
  <si>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</si>
  <si>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</si>
  <si>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</si>
  <si>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</si>
  <si>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</si>
  <si>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</si>
  <si>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</si>
  <si>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</si>
  <si>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</si>
  <si>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</si>
  <si>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</si>
  <si>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</si>
  <si>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</si>
  <si>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</si>
  <si>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</si>
  <si>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</si>
  <si>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</si>
  <si>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</si>
  <si>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</si>
  <si>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</si>
  <si>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</si>
  <si>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</si>
  <si>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</si>
  <si>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</si>
  <si>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</si>
  <si>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</si>
  <si>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</si>
  <si>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</si>
  <si>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</si>
  <si>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</si>
  <si>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</si>
  <si>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</si>
  <si>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</si>
  <si>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</si>
  <si>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</si>
  <si>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</si>
  <si>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</si>
  <si>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</si>
  <si>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</si>
  <si>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</si>
  <si>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</si>
  <si>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</si>
  <si>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</si>
  <si>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</si>
  <si>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</si>
  <si>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</si>
  <si>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</si>
  <si>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</si>
  <si>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</si>
  <si>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</si>
  <si>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</si>
  <si>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</si>
  <si>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</si>
  <si>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</si>
  <si>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</si>
  <si>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</si>
  <si>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</si>
  <si>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</si>
  <si>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</si>
  <si>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</si>
  <si>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</si>
  <si>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</si>
  <si>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</si>
  <si>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</si>
  <si>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</si>
  <si>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</si>
  <si>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</si>
  <si>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</si>
  <si>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</si>
  <si>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</si>
  <si>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</si>
  <si>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</si>
  <si>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</si>
  <si>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</si>
  <si>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</si>
  <si>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</si>
  <si>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</si>
  <si>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</si>
  <si>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</si>
  <si>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</si>
  <si>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</si>
  <si>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</si>
  <si>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</si>
  <si>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</si>
  <si>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</si>
  <si>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</si>
  <si>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</si>
  <si>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</si>
  <si>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</si>
  <si>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</si>
  <si>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</si>
  <si>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</si>
  <si>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</si>
  <si>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</si>
  <si>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</si>
  <si>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</si>
  <si>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</si>
  <si>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</si>
  <si>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</si>
  <si>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</si>
  <si>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</si>
  <si>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</si>
  <si>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</si>
  <si>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</si>
  <si>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</si>
  <si>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</si>
  <si>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</si>
  <si>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</si>
  <si>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</si>
  <si>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</si>
  <si>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</si>
  <si>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</si>
  <si>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</si>
  <si>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</si>
  <si>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</si>
  <si>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</si>
  <si>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</si>
  <si>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</si>
  <si>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</si>
  <si>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</si>
  <si>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</si>
  <si>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</si>
  <si>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</si>
  <si>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</si>
  <si>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</si>
  <si>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</si>
  <si>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</si>
  <si>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</si>
  <si>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</si>
  <si>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</si>
  <si>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</si>
  <si>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</si>
  <si>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</si>
  <si>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</si>
  <si>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</si>
  <si>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</si>
  <si>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</si>
  <si>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</si>
  <si>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</si>
  <si>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</si>
  <si>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</si>
  <si>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</si>
  <si>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</si>
  <si>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</si>
  <si>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</si>
  <si>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</si>
  <si>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</si>
  <si>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</si>
  <si>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</si>
  <si>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</si>
  <si>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</si>
  <si>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</si>
  <si>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</si>
  <si>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</si>
  <si>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</si>
  <si>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</si>
  <si>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</si>
  <si>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</si>
  <si>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</si>
  <si>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</si>
  <si>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</si>
  <si>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</si>
  <si>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</si>
  <si>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</si>
  <si>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</si>
  <si>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</si>
  <si>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</si>
  <si>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</si>
  <si>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</si>
  <si>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</si>
  <si>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</si>
  <si>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</si>
  <si>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</si>
  <si>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</si>
  <si>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</si>
  <si>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</si>
  <si>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</si>
  <si>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</si>
  <si>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</si>
  <si>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</si>
  <si>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</si>
  <si>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</si>
  <si>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</si>
  <si>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</si>
  <si>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</si>
  <si>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</si>
  <si>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</si>
  <si>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</si>
  <si>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</si>
  <si>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</si>
  <si>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</si>
  <si>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</si>
  <si>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</si>
  <si>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</si>
  <si>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</si>
  <si>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</si>
  <si>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</si>
  <si>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</si>
  <si>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</si>
  <si>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</si>
  <si>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</si>
  <si>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</si>
  <si>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</si>
  <si>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</si>
  <si>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</si>
  <si>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</si>
  <si>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</si>
  <si>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</si>
  <si>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</si>
  <si>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</si>
  <si>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</si>
  <si>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</si>
  <si>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</si>
  <si>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</si>
  <si>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</si>
  <si>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</si>
  <si>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</si>
  <si>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</si>
  <si>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</si>
  <si>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</si>
  <si>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</si>
  <si>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</si>
  <si>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</si>
  <si>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</si>
  <si>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</si>
  <si>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</si>
  <si>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</si>
  <si>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</si>
  <si>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</si>
  <si>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</si>
  <si>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</si>
  <si>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</si>
  <si>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</si>
  <si>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</si>
  <si>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</si>
  <si>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</si>
  <si>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</si>
  <si>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</si>
  <si>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</si>
  <si>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</si>
  <si>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</si>
  <si>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</si>
  <si>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</si>
  <si>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</si>
  <si>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</si>
  <si>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</si>
  <si>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</si>
  <si>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</si>
  <si>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</si>
  <si>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</si>
  <si>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</si>
  <si>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</si>
  <si>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</si>
  <si>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</si>
  <si>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</si>
  <si>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</si>
  <si>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</si>
  <si>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</si>
  <si>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</si>
  <si>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</si>
  <si>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</si>
  <si>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</si>
  <si>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</si>
  <si>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</si>
  <si>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</si>
  <si>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</si>
  <si>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</si>
  <si>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</si>
  <si>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</si>
  <si>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</si>
  <si>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</si>
  <si>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</si>
  <si>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</si>
  <si>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</si>
  <si>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</si>
  <si>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</si>
  <si>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</si>
  <si>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</si>
  <si>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</si>
  <si>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</si>
  <si>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</si>
  <si>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</si>
  <si>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</si>
  <si>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</si>
  <si>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</si>
  <si>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</si>
  <si>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</si>
  <si>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</si>
  <si>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</si>
  <si>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</si>
  <si>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</si>
  <si>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</si>
  <si>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</si>
  <si>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</si>
  <si>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</si>
  <si>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</si>
  <si>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</si>
  <si>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</si>
  <si>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</si>
  <si>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</si>
  <si>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</si>
  <si>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</si>
  <si>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</si>
  <si>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</si>
  <si>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</si>
  <si>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</si>
  <si>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</si>
  <si>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</si>
  <si>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</si>
  <si>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</si>
  <si>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</si>
  <si>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</si>
  <si>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</si>
  <si>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</si>
  <si>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</si>
  <si>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</si>
  <si>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</si>
  <si>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</si>
  <si>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</si>
  <si>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</si>
  <si>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</si>
  <si>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</si>
  <si>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</si>
  <si>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</si>
  <si>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</si>
  <si>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</si>
  <si>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</si>
  <si>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</si>
  <si>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</si>
  <si>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</si>
  <si>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</si>
  <si>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</si>
  <si>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</si>
  <si>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</si>
  <si>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</si>
  <si>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</si>
  <si>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</si>
  <si>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</si>
  <si>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</si>
  <si>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</si>
  <si>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</si>
  <si>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</si>
  <si>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</si>
  <si>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</si>
  <si>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</si>
  <si>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</si>
  <si>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</si>
  <si>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</si>
  <si>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</si>
  <si>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</si>
  <si>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</si>
  <si>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</si>
  <si>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</si>
  <si>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</si>
  <si>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</si>
  <si>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</si>
  <si>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</si>
  <si>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</si>
  <si>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</si>
  <si>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</si>
  <si>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</si>
  <si>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</si>
  <si>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</si>
  <si>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</si>
  <si>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</si>
  <si>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</si>
  <si>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</si>
  <si>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</si>
  <si>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</si>
  <si>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</si>
  <si>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</si>
  <si>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</si>
  <si>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</si>
  <si>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</si>
  <si>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</si>
  <si>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</si>
  <si>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</si>
  <si>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</si>
  <si>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</si>
  <si>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</si>
  <si>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</si>
  <si>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</si>
  <si>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</si>
  <si>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</si>
  <si>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</si>
  <si>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</si>
  <si>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</si>
  <si>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</si>
  <si>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</si>
  <si>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</si>
  <si>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</si>
  <si>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</si>
  <si>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</si>
  <si>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</si>
  <si>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</si>
  <si>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</si>
  <si>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</si>
  <si>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</si>
  <si>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</si>
  <si>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</si>
  <si>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</si>
  <si>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</si>
  <si>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</si>
  <si>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</si>
  <si>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</si>
  <si>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</si>
  <si>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</si>
  <si>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</si>
  <si>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</si>
  <si>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</si>
  <si>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</si>
  <si>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</si>
  <si>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</si>
  <si>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</si>
  <si>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</si>
  <si>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</si>
  <si>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</si>
  <si>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</si>
  <si>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</si>
  <si>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</si>
  <si>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</si>
  <si>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</si>
  <si>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</si>
  <si>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</si>
  <si>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</si>
  <si>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</si>
  <si>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</si>
  <si>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</si>
  <si>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</si>
  <si>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</si>
  <si>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</si>
  <si>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</si>
  <si>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</si>
  <si>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</si>
  <si>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</si>
  <si>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</si>
  <si>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</si>
  <si>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</si>
  <si>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</si>
  <si>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</si>
  <si>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</si>
  <si>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</si>
  <si>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</si>
  <si>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</si>
  <si>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</si>
  <si>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</si>
  <si>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</si>
  <si>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</si>
  <si>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</si>
  <si>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</si>
  <si>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</si>
  <si>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</si>
  <si>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</si>
  <si>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</si>
  <si>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</si>
  <si>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</si>
  <si>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</si>
  <si>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</si>
  <si>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</si>
  <si>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</si>
  <si>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</si>
  <si>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</si>
  <si>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</si>
  <si>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</si>
  <si>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</si>
  <si>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</si>
  <si>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</si>
  <si>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</si>
  <si>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</si>
  <si>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</si>
  <si>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</si>
  <si>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</si>
  <si>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</si>
  <si>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</si>
  <si>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</si>
  <si>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</si>
  <si>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</si>
  <si>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</si>
  <si>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</si>
  <si>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</si>
  <si>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</si>
  <si>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</si>
  <si>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</si>
  <si>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</si>
  <si>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</si>
  <si>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</si>
  <si>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</si>
  <si>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</si>
  <si>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</si>
  <si>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</si>
  <si>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</si>
  <si>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</si>
  <si>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</si>
  <si>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</si>
  <si>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</si>
  <si>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</si>
  <si>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</si>
  <si>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</si>
  <si>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</si>
  <si>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</si>
  <si>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</si>
  <si>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</si>
  <si>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</si>
  <si>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</si>
  <si>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</si>
  <si>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</si>
  <si>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</si>
  <si>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</si>
  <si>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</si>
  <si>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</si>
  <si>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</si>
  <si>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</si>
  <si>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</si>
  <si>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</si>
  <si>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</si>
  <si>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</si>
  <si>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</si>
  <si>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</si>
  <si>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</si>
  <si>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</si>
  <si>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</si>
  <si>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</si>
  <si>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</si>
  <si>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</si>
  <si>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</si>
  <si>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</si>
  <si>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</si>
  <si>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</si>
  <si>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</si>
  <si>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</si>
  <si>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</si>
  <si>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</si>
  <si>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</si>
  <si>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</si>
  <si>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</si>
  <si>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</si>
  <si>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</si>
  <si>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</si>
  <si>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</si>
  <si>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</si>
  <si>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</si>
  <si>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</si>
  <si>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</si>
  <si>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</si>
  <si>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</si>
  <si>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</si>
  <si>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</si>
  <si>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</si>
  <si>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</si>
  <si>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</si>
  <si>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</si>
  <si>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</si>
  <si>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</si>
  <si>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</si>
  <si>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</si>
  <si>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</si>
  <si>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</si>
  <si>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</si>
  <si>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</si>
  <si>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</si>
  <si>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</si>
  <si>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</si>
  <si>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</si>
  <si>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</si>
  <si>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</si>
  <si>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</si>
  <si>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</si>
  <si>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</si>
  <si>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</si>
  <si>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</si>
  <si>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</si>
  <si>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</si>
  <si>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</si>
  <si>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</si>
  <si>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</si>
  <si>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</si>
  <si>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</si>
  <si>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</si>
  <si>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</si>
  <si>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</si>
  <si>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</si>
  <si>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</si>
  <si>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</si>
  <si>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</si>
  <si>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</si>
  <si>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</si>
  <si>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</si>
  <si>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</si>
  <si>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</si>
  <si>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</si>
  <si>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</si>
  <si>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</si>
  <si>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</si>
  <si>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</si>
  <si>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</si>
  <si>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</si>
  <si>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</si>
  <si>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</si>
  <si>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</si>
  <si>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</si>
  <si>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</si>
  <si>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</si>
  <si>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</si>
  <si>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</si>
  <si>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</si>
  <si>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</si>
  <si>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</si>
  <si>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</si>
  <si>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</si>
  <si>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</si>
  <si>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</si>
  <si>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</si>
  <si>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</si>
  <si>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</si>
  <si>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</si>
  <si>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</si>
  <si>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</si>
  <si>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</si>
  <si>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</si>
  <si>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</si>
  <si>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</si>
  <si>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</si>
  <si>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</si>
  <si>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</si>
  <si>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</si>
  <si>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</si>
  <si>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</si>
  <si>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</si>
  <si>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</si>
  <si>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</si>
  <si>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</si>
  <si>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</si>
  <si>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</si>
  <si>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</si>
  <si>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</si>
  <si>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</si>
  <si>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</si>
  <si>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</si>
  <si>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</si>
  <si>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</si>
  <si>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</si>
  <si>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</si>
  <si>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</si>
  <si>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</si>
  <si>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</si>
  <si>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</si>
  <si>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</si>
  <si>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</si>
  <si>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</si>
  <si>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</si>
  <si>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</si>
  <si>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</si>
  <si>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</si>
  <si>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</si>
  <si>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</si>
  <si>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</si>
  <si>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</si>
  <si>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</si>
  <si>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</si>
  <si>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</si>
  <si>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</si>
  <si>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</si>
  <si>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</si>
  <si>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</si>
  <si>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</si>
  <si>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</si>
  <si>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</si>
  <si>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</si>
  <si>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</si>
  <si>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</si>
  <si>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</si>
  <si>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</si>
  <si>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</si>
  <si>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</si>
  <si>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</si>
  <si>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</si>
  <si>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</si>
  <si>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</si>
  <si>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</si>
  <si>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</si>
  <si>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</si>
  <si>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</si>
  <si>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</si>
  <si>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</si>
  <si>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</si>
  <si>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</si>
  <si>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</si>
  <si>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</si>
  <si>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</si>
  <si>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</si>
  <si>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</si>
  <si>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</si>
  <si>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</si>
  <si>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</si>
  <si>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</si>
  <si>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</si>
  <si>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</si>
  <si>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</si>
  <si>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</si>
  <si>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</si>
  <si>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</si>
  <si>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</si>
  <si>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</si>
  <si>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</si>
  <si>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</si>
  <si>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</si>
  <si>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</si>
  <si>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</si>
  <si>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</si>
  <si>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</si>
  <si>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</si>
  <si>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</si>
  <si>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</si>
  <si>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</si>
  <si>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</si>
  <si>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</si>
  <si>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</si>
  <si>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</si>
  <si>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</si>
  <si>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</si>
  <si>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</si>
  <si>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</si>
  <si>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</si>
  <si>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</si>
  <si>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</si>
  <si>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</si>
  <si>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</si>
  <si>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</si>
  <si>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</si>
  <si>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</si>
  <si>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</si>
  <si>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</si>
  <si>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</si>
  <si>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</si>
  <si>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</si>
  <si>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</si>
  <si>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</si>
  <si>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</si>
  <si>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</si>
  <si>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</si>
  <si>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</si>
  <si>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</si>
  <si>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</si>
  <si>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</si>
  <si>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</si>
  <si>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</si>
  <si>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</si>
  <si>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</si>
  <si>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</si>
  <si>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</si>
  <si>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</si>
  <si>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</si>
  <si>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</si>
  <si>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</si>
  <si>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</si>
  <si>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</si>
  <si>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</si>
  <si>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</si>
  <si>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</si>
  <si>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</si>
  <si>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</si>
  <si>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</si>
  <si>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</si>
  <si>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</si>
  <si>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</si>
  <si>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</si>
  <si>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</si>
  <si>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</si>
  <si>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</si>
  <si>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</si>
  <si>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</si>
  <si>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</si>
  <si>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</si>
  <si>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</si>
  <si>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</si>
  <si>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</si>
  <si>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</si>
  <si>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</si>
  <si>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</si>
  <si>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</si>
  <si>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</si>
  <si>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</si>
  <si>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</si>
  <si>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</si>
  <si>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</si>
  <si>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</si>
  <si>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</si>
  <si>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</si>
  <si>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</si>
  <si>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</si>
  <si>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</si>
  <si>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</si>
  <si>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</si>
  <si>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</si>
  <si>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</si>
  <si>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</si>
  <si>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</si>
  <si>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</si>
  <si>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</si>
  <si>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</si>
  <si>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</si>
  <si>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</si>
  <si>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</si>
  <si>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</si>
  <si>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</si>
  <si>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</si>
  <si>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</si>
  <si>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</si>
  <si>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</si>
  <si>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</si>
  <si>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</si>
  <si>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</si>
  <si>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</si>
  <si>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</si>
  <si>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</si>
  <si>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</si>
  <si>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</si>
  <si>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</si>
  <si>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</si>
  <si>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</si>
  <si>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</si>
  <si>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</si>
  <si>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</si>
  <si>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</si>
  <si>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</si>
  <si>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</si>
  <si>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</si>
  <si>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</si>
  <si>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</si>
  <si>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</si>
  <si>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</si>
  <si>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</si>
  <si>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</si>
  <si>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</si>
  <si>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</si>
  <si>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</si>
  <si>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</si>
  <si>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</si>
  <si>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</si>
  <si>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</si>
  <si>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</si>
  <si>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</si>
  <si>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</si>
  <si>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</si>
  <si>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</si>
  <si>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</si>
  <si>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</si>
  <si>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</si>
  <si>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</si>
  <si>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</si>
  <si>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</si>
  <si>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</si>
  <si>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</si>
  <si>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</si>
  <si>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</si>
  <si>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</si>
  <si>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</si>
  <si>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</si>
  <si>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</si>
  <si>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</si>
  <si>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</si>
  <si>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</si>
  <si>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</si>
  <si>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</si>
  <si>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</si>
  <si>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</si>
  <si>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</si>
  <si>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</si>
  <si>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</si>
  <si>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</si>
  <si>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</si>
  <si>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</si>
  <si>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</si>
  <si>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</si>
  <si>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</si>
  <si>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</si>
  <si>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</si>
  <si>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</si>
  <si>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</si>
  <si>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</si>
  <si>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</si>
  <si>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</si>
  <si>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</si>
  <si>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</si>
  <si>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</si>
  <si>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</si>
  <si>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</si>
  <si>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</si>
  <si>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</si>
  <si>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</si>
  <si>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</si>
  <si>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</si>
  <si>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</si>
  <si>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</si>
  <si>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</si>
  <si>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</si>
  <si>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</si>
  <si>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</si>
  <si>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</si>
  <si>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</si>
  <si>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</si>
  <si>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</si>
  <si>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</si>
  <si>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</si>
  <si>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</si>
  <si>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</si>
  <si>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</si>
  <si>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</si>
  <si>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</si>
  <si>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</si>
  <si>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</si>
  <si>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</si>
  <si>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</si>
  <si>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</si>
  <si>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</si>
  <si>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</si>
  <si>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</si>
  <si>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</si>
  <si>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</si>
  <si>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</si>
  <si>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</si>
  <si>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</si>
  <si>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</si>
  <si>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</si>
  <si>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</si>
  <si>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</si>
  <si>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</si>
  <si>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</si>
  <si>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</si>
  <si>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</si>
  <si>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</si>
  <si>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</si>
  <si>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</si>
  <si>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</si>
  <si>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</si>
  <si>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</si>
  <si>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</si>
  <si>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</si>
  <si>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</si>
  <si>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</si>
  <si>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</si>
  <si>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</si>
  <si>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</si>
  <si>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</si>
  <si>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</si>
  <si>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</si>
  <si>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</si>
  <si>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</si>
  <si>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</si>
  <si>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</si>
  <si>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</si>
  <si>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</si>
  <si>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</si>
  <si>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</si>
  <si>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</si>
  <si>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</si>
  <si>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</si>
  <si>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</si>
  <si>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</si>
  <si>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</si>
  <si>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</si>
  <si>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</si>
  <si>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</si>
  <si>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</si>
  <si>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</si>
  <si>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</si>
  <si>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</si>
  <si>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</si>
  <si>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</si>
  <si>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</si>
  <si>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</si>
  <si>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</si>
  <si>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</si>
  <si>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</si>
  <si>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</si>
  <si>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</si>
  <si>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</si>
  <si>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</si>
  <si>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</si>
  <si>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</si>
  <si>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</si>
  <si>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</si>
  <si>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</si>
  <si>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</si>
  <si>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</si>
  <si>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</si>
  <si>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</si>
  <si>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</si>
  <si>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</si>
  <si>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</si>
  <si>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</si>
  <si>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</si>
  <si>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</si>
  <si>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</si>
  <si>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</si>
  <si>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</si>
  <si>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</si>
  <si>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</si>
  <si>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</si>
  <si>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</si>
  <si>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</si>
  <si>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</si>
  <si>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</si>
  <si>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</si>
  <si>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</si>
  <si>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</si>
  <si>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</si>
  <si>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</si>
  <si>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</si>
  <si>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</si>
  <si>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</si>
  <si>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</si>
  <si>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</si>
  <si>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</si>
  <si>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</si>
  <si>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</si>
  <si>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</si>
  <si>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</si>
  <si>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</si>
  <si>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</si>
  <si>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</si>
  <si>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</si>
  <si>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</si>
  <si>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</si>
  <si>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</si>
  <si>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</si>
  <si>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</si>
  <si>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</si>
  <si>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</si>
  <si>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</si>
  <si>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</si>
  <si>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</si>
  <si>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</si>
  <si>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</si>
  <si>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</si>
  <si>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</si>
  <si>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</si>
  <si>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</si>
  <si>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</si>
  <si>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</si>
  <si>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</si>
  <si>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</si>
  <si>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</si>
  <si>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</si>
  <si>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</si>
  <si>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</si>
  <si>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</si>
  <si>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</si>
  <si>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</si>
  <si>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</si>
  <si>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</si>
  <si>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</si>
  <si>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</si>
  <si>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</si>
  <si>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</si>
  <si>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</si>
  <si>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</si>
  <si>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</si>
  <si>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</si>
  <si>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</si>
  <si>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</si>
  <si>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</si>
  <si>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</si>
  <si>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</si>
  <si>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</si>
  <si>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</si>
  <si>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</si>
  <si>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</si>
  <si>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</si>
  <si>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</si>
  <si>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</si>
  <si>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</si>
  <si>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</si>
  <si>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</si>
  <si>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</si>
  <si>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</si>
  <si>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</si>
  <si>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</si>
  <si>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</si>
  <si>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</si>
  <si>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</si>
  <si>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</si>
  <si>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</si>
  <si>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</si>
  <si>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</si>
  <si>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</si>
  <si>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</si>
  <si>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</si>
  <si>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</si>
  <si>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</si>
  <si>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</si>
  <si>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</si>
  <si>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</si>
  <si>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</si>
  <si>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</si>
  <si>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</si>
  <si>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</si>
  <si>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</si>
  <si>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</si>
  <si>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</si>
  <si>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</si>
  <si>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</si>
  <si>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</si>
  <si>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</si>
  <si>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</si>
  <si>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</si>
  <si>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</si>
  <si>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</si>
  <si>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</si>
  <si>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</si>
  <si>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</si>
  <si>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</si>
  <si>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</si>
  <si>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</si>
  <si>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</si>
  <si>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</si>
  <si>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</si>
  <si>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</si>
  <si>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</si>
  <si>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</si>
  <si>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</si>
  <si>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</si>
  <si>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</si>
  <si>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</si>
  <si>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</si>
  <si>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</si>
  <si>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</si>
  <si>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</si>
  <si>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</si>
  <si>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</si>
  <si>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</si>
  <si>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</si>
  <si>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</si>
  <si>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</si>
  <si>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</si>
  <si>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</si>
  <si>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</si>
  <si>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</si>
  <si>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</si>
  <si>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</si>
  <si>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</si>
  <si>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</si>
  <si>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</si>
  <si>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</si>
  <si>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</si>
  <si>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</si>
  <si>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</si>
  <si>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</si>
  <si>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</si>
  <si>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</si>
  <si>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</si>
  <si>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</si>
  <si>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</si>
  <si>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</si>
  <si>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</si>
  <si>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</si>
  <si>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</si>
  <si>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</si>
  <si>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</si>
  <si>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</si>
  <si>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</si>
  <si>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</si>
  <si>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</si>
  <si>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</si>
  <si>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</si>
  <si>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</si>
  <si>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</si>
  <si>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</si>
  <si>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</si>
  <si>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</si>
  <si>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</si>
  <si>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</si>
  <si>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</si>
  <si>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</si>
  <si>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</si>
  <si>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</si>
  <si>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</si>
  <si>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</si>
  <si>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</si>
  <si>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</si>
  <si>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</si>
  <si>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</si>
  <si>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</si>
  <si>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</si>
  <si>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</si>
  <si>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</si>
  <si>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</si>
  <si>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</si>
  <si>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</si>
  <si>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</si>
  <si>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</si>
  <si>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</si>
  <si>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</si>
  <si>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</si>
  <si>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</si>
  <si>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</si>
  <si>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</si>
  <si>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</si>
  <si>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</si>
  <si>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</si>
  <si>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</si>
  <si>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</si>
  <si>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</si>
  <si>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</si>
  <si>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</si>
  <si>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</si>
  <si>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</si>
  <si>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</si>
  <si>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</si>
  <si>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</si>
  <si>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</si>
  <si>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</si>
  <si>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</si>
  <si>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</si>
  <si>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</si>
  <si>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</si>
  <si>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</si>
  <si>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</si>
  <si>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</si>
  <si>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</si>
  <si>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</si>
  <si>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</si>
  <si>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</si>
  <si>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</si>
  <si>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</si>
  <si>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</si>
  <si>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</si>
  <si>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</si>
  <si>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</si>
  <si>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</si>
  <si>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</si>
  <si>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</si>
  <si>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</si>
  <si>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</si>
  <si>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</si>
  <si>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</si>
  <si>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</si>
  <si>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</si>
  <si>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</si>
  <si>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</si>
  <si>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</si>
  <si>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</si>
  <si>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</si>
  <si>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</si>
  <si>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</si>
  <si>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</si>
  <si>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</si>
  <si>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</si>
  <si>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</si>
  <si>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</si>
  <si>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</si>
  <si>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</si>
  <si>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</si>
  <si>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</si>
  <si>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</si>
  <si>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</si>
  <si>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</si>
  <si>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</si>
  <si>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</si>
  <si>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</si>
  <si>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</si>
  <si>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</si>
  <si>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</si>
  <si>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</si>
  <si>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</si>
  <si>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</si>
  <si>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</si>
  <si>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</si>
  <si>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</si>
  <si>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</si>
  <si>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</si>
  <si>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</si>
  <si>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</si>
  <si>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</si>
  <si>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</si>
  <si>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</si>
  <si>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</si>
  <si>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</si>
  <si>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</si>
  <si>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</si>
  <si>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</si>
  <si>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</si>
  <si>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</si>
  <si>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</si>
  <si>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</si>
  <si>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</si>
  <si>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</si>
  <si>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</si>
  <si>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</si>
  <si>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</si>
  <si>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</si>
  <si>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</si>
  <si>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</si>
  <si>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</si>
  <si>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</si>
  <si>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</si>
  <si>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</si>
  <si>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</si>
  <si>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</si>
  <si>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</si>
  <si>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</si>
  <si>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</si>
  <si>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</si>
  <si>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</si>
  <si>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</si>
  <si>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</si>
  <si>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</si>
  <si>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</si>
  <si>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</si>
  <si>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</si>
  <si>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</si>
  <si>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</si>
  <si>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</si>
  <si>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</si>
  <si>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</si>
  <si>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</si>
  <si>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</si>
  <si>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</si>
  <si>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</si>
  <si>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</si>
  <si>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</si>
  <si>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</si>
  <si>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</si>
  <si>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</si>
  <si>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</si>
  <si>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</si>
  <si>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</si>
  <si>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</si>
  <si>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</si>
  <si>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</si>
  <si>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</si>
  <si>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</si>
  <si>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</si>
  <si>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</si>
  <si>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</si>
  <si>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</si>
  <si>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</si>
  <si>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</si>
  <si>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</si>
  <si>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</si>
  <si>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</si>
  <si>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</si>
  <si>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</si>
  <si>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</si>
  <si>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</si>
  <si>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</si>
  <si>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</si>
  <si>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</si>
  <si>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</si>
  <si>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</si>
  <si>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</si>
  <si>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</si>
  <si>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</si>
  <si>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</si>
  <si>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</si>
  <si>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</si>
  <si>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</si>
  <si>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</si>
  <si>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</si>
  <si>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</si>
  <si>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</si>
  <si>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</si>
  <si>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</si>
  <si>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</si>
  <si>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</si>
  <si>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</si>
  <si>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</si>
  <si>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</si>
  <si>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</si>
  <si>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</si>
  <si>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</si>
  <si>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</si>
  <si>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</si>
  <si>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</si>
  <si>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</si>
  <si>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</si>
  <si>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</si>
  <si>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</si>
  <si>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</si>
  <si>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</si>
  <si>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</si>
  <si>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</si>
  <si>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</si>
  <si>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</si>
  <si>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</si>
  <si>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</si>
  <si>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</si>
  <si>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</si>
  <si>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</si>
  <si>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</si>
  <si>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</si>
  <si>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</si>
  <si>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</si>
  <si>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</si>
  <si>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</si>
  <si>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</si>
  <si>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</si>
  <si>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</si>
  <si>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</si>
  <si>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</si>
  <si>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</si>
  <si>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</si>
  <si>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</si>
  <si>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</si>
  <si>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</si>
  <si>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</si>
  <si>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</si>
  <si>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</si>
  <si>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</si>
  <si>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</si>
  <si>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</si>
  <si>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</si>
  <si>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</si>
  <si>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</si>
  <si>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</si>
  <si>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</si>
  <si>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</si>
  <si>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</si>
  <si>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</si>
  <si>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</si>
  <si>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</si>
  <si>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</si>
  <si>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</si>
  <si>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</si>
  <si>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</si>
  <si>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</si>
  <si>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</si>
  <si>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</si>
  <si>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</si>
  <si>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</si>
  <si>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</si>
  <si>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</si>
  <si>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</si>
  <si>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</si>
  <si>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</si>
  <si>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</si>
  <si>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</si>
  <si>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</si>
  <si>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</si>
  <si>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</si>
  <si>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</si>
  <si>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</si>
  <si>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</si>
  <si>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</si>
  <si>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</si>
  <si>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</si>
  <si>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</si>
  <si>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</si>
  <si>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</si>
  <si>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</si>
  <si>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</si>
  <si>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</si>
  <si>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</si>
  <si>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</si>
  <si>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</si>
  <si>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</si>
  <si>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</si>
  <si>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</si>
  <si>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</si>
  <si>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</si>
  <si>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</si>
  <si>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</si>
  <si>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</si>
  <si>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</si>
  <si>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</si>
  <si>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</si>
  <si>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</si>
  <si>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</si>
  <si>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</si>
  <si>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</si>
  <si>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</si>
  <si>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</si>
  <si>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</si>
  <si>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</si>
  <si>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</si>
  <si>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</si>
  <si>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</si>
  <si>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</si>
  <si>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</si>
  <si>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</si>
  <si>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</si>
  <si>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</si>
  <si>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</si>
  <si>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</si>
  <si>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</si>
  <si>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</si>
  <si>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</si>
  <si>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</si>
  <si>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</si>
  <si>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</si>
  <si>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</si>
  <si>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</si>
  <si>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</si>
  <si>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</si>
  <si>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</si>
  <si>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</si>
  <si>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</si>
  <si>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</si>
  <si>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</si>
  <si>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</si>
  <si>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</si>
  <si>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</si>
  <si>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</si>
  <si>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</si>
  <si>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</si>
  <si>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</si>
  <si>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</si>
  <si>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</si>
  <si>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</si>
  <si>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</si>
  <si>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</si>
  <si>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</si>
  <si>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</si>
  <si>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</si>
  <si>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</si>
  <si>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</si>
  <si>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</si>
  <si>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</si>
  <si>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</si>
  <si>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</si>
  <si>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</si>
  <si>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</si>
  <si>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</si>
  <si>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</si>
  <si>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</si>
  <si>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</si>
  <si>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</si>
  <si>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</si>
  <si>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</si>
  <si>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</si>
  <si>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</si>
  <si>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</si>
  <si>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</si>
  <si>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</si>
  <si>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</si>
  <si>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</si>
  <si>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</si>
  <si>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</si>
  <si>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</si>
  <si>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</si>
  <si>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</si>
  <si>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</si>
  <si>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</si>
  <si>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</si>
  <si>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</si>
  <si>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</si>
  <si>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</si>
  <si>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</si>
  <si>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</si>
  <si>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</si>
  <si>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</si>
  <si>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</si>
  <si>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</si>
  <si>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</si>
  <si>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</si>
  <si>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</si>
  <si>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</si>
  <si>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</si>
  <si>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</si>
  <si>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</si>
  <si>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</si>
  <si>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</si>
  <si>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</si>
  <si>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</si>
  <si>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</si>
  <si>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</si>
  <si>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</si>
  <si>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</si>
  <si>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</si>
  <si>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</si>
  <si>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</si>
  <si>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</si>
  <si>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</si>
  <si>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</si>
  <si>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</si>
  <si>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</si>
  <si>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</si>
  <si>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</si>
  <si>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</si>
  <si>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</si>
  <si>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</si>
  <si>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</si>
  <si>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</si>
  <si>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</si>
  <si>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</si>
  <si>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</si>
  <si>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</si>
  <si>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</si>
  <si>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</si>
  <si>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</si>
  <si>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</si>
  <si>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</si>
  <si>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</si>
  <si>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</si>
  <si>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</si>
  <si>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</si>
  <si>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</si>
  <si>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</si>
  <si>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</si>
  <si>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</si>
  <si>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</si>
  <si>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</si>
  <si>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</si>
  <si>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</si>
  <si>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</si>
  <si>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</si>
  <si>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</si>
  <si>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</si>
  <si>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</si>
  <si>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</si>
  <si>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</si>
  <si>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</si>
  <si>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</si>
  <si>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</si>
  <si>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</si>
  <si>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</si>
  <si>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</si>
  <si>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</si>
  <si>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</si>
  <si>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</si>
  <si>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</si>
  <si>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</si>
  <si>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</si>
  <si>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</si>
  <si>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</si>
  <si>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</si>
  <si>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</si>
  <si>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</si>
  <si>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</si>
  <si>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</si>
  <si>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</si>
  <si>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</si>
  <si>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</si>
  <si>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</si>
  <si>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</si>
  <si>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</si>
  <si>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</si>
  <si>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</si>
  <si>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</si>
  <si>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</si>
  <si>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</si>
  <si>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</si>
  <si>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</si>
  <si>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</si>
  <si>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</si>
  <si>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</si>
  <si>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</si>
  <si>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</si>
  <si>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</si>
  <si>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</si>
  <si>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</si>
  <si>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</si>
  <si>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</si>
  <si>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</si>
  <si>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</si>
  <si>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</si>
  <si>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</si>
  <si>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</si>
  <si>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</si>
  <si>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</si>
  <si>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</si>
  <si>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</si>
  <si>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</si>
  <si>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</si>
  <si>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</si>
  <si>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</si>
  <si>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</si>
  <si>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</si>
  <si>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</si>
  <si>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</si>
  <si>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</si>
  <si>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</si>
  <si>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</si>
  <si>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</si>
  <si>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</si>
  <si>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</si>
  <si>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</si>
  <si>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</si>
  <si>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</si>
  <si>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</si>
  <si>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</si>
  <si>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</si>
  <si>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</si>
  <si>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</si>
  <si>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</si>
  <si>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</si>
  <si>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</si>
  <si>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</si>
  <si>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</si>
  <si>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</si>
  <si>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</si>
  <si>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</si>
  <si>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</si>
  <si>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</si>
  <si>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</si>
  <si>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</si>
  <si>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</si>
  <si>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</si>
  <si>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</si>
  <si>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</si>
  <si>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</si>
  <si>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</si>
  <si>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</si>
  <si>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</si>
  <si>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</si>
  <si>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</si>
  <si>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</si>
  <si>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</si>
  <si>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</si>
  <si>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</si>
  <si>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</si>
  <si>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</si>
  <si>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</si>
  <si>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</si>
  <si>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</si>
  <si>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</si>
  <si>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</si>
  <si>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</si>
  <si>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</si>
  <si>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</si>
  <si>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</si>
  <si>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</si>
  <si>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</si>
  <si>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</si>
  <si>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</si>
  <si>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</si>
  <si>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</si>
  <si>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</si>
  <si>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</si>
  <si>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</si>
  <si>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</si>
  <si>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</si>
  <si>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</si>
  <si>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</si>
  <si>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</si>
  <si>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</si>
  <si>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</si>
  <si>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</si>
  <si>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</si>
  <si>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</si>
  <si>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</si>
  <si>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</si>
  <si>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</si>
  <si>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</si>
  <si>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</si>
  <si>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</si>
  <si>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</si>
  <si>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</si>
  <si>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</si>
  <si>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</si>
  <si>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</si>
  <si>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</si>
  <si>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</si>
  <si>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</si>
  <si>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</si>
  <si>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</si>
  <si>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</si>
  <si>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</si>
  <si>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</si>
  <si>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</si>
  <si>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</si>
  <si>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</si>
  <si>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</si>
  <si>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</si>
  <si>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</si>
  <si>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</si>
  <si>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</si>
  <si>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</si>
  <si>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</si>
  <si>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</si>
  <si>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</si>
  <si>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</si>
  <si>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</si>
  <si>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</si>
  <si>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</si>
  <si>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</si>
  <si>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</si>
  <si>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</si>
  <si>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</si>
  <si>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</si>
  <si>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</si>
  <si>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</si>
  <si>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</si>
  <si>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</si>
  <si>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</si>
  <si>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</si>
  <si>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</si>
  <si>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</si>
  <si>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</si>
  <si>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</si>
  <si>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</si>
  <si>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</si>
  <si>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</si>
  <si>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</si>
  <si>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</si>
  <si>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</si>
  <si>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</si>
  <si>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</si>
  <si>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</si>
  <si>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</si>
  <si>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</si>
  <si>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</si>
  <si>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</si>
  <si>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</si>
  <si>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</si>
  <si>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</si>
  <si>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</si>
  <si>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</si>
  <si>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</si>
  <si>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</si>
  <si>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</si>
  <si>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</si>
  <si>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</si>
  <si>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</si>
  <si>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</si>
  <si>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</si>
  <si>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</si>
  <si>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</si>
  <si>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</si>
  <si>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</si>
  <si>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</si>
  <si>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</si>
  <si>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</si>
  <si>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</si>
  <si>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</si>
  <si>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</si>
  <si>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</si>
  <si>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</si>
  <si>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</si>
  <si>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</si>
  <si>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</si>
  <si>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</si>
  <si>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</si>
  <si>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</si>
  <si>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</si>
  <si>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</si>
  <si>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</si>
  <si>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</si>
  <si>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</si>
  <si>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</si>
  <si>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</si>
  <si>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</si>
  <si>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</si>
  <si>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</si>
  <si>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</si>
  <si>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</si>
  <si>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</si>
  <si>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</si>
  <si>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</si>
  <si>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</si>
  <si>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</si>
  <si>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</si>
  <si>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</si>
  <si>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</si>
  <si>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</si>
  <si>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</si>
  <si>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</si>
  <si>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</si>
  <si>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</si>
  <si>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</si>
  <si>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</si>
  <si>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</si>
  <si>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</si>
  <si>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</si>
  <si>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</si>
  <si>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</si>
  <si>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</si>
  <si>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</si>
  <si>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</si>
  <si>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</si>
  <si>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</si>
  <si>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</si>
  <si>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</si>
  <si>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</si>
  <si>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</si>
  <si>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</si>
  <si>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</si>
  <si>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</si>
  <si>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</si>
  <si>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</si>
  <si>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</si>
  <si>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</si>
  <si>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</si>
  <si>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</si>
  <si>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</si>
  <si>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</si>
  <si>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</si>
  <si>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</si>
  <si>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</si>
  <si>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</si>
  <si>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</si>
  <si>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</si>
  <si>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</si>
  <si>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</si>
  <si>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</si>
  <si>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</si>
  <si>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</si>
  <si>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</si>
  <si>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</si>
  <si>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</si>
  <si>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</si>
  <si>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</si>
  <si>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</si>
  <si>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</si>
  <si>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</si>
  <si>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</si>
  <si>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</si>
  <si>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</si>
  <si>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</si>
  <si>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</si>
  <si>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</si>
  <si>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</si>
  <si>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</si>
  <si>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</si>
  <si>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</si>
  <si>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</si>
  <si>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</si>
  <si>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</si>
  <si>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</si>
  <si>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</si>
  <si>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</si>
  <si>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</si>
  <si>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</si>
  <si>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</si>
  <si>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</si>
  <si>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</si>
  <si>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</si>
  <si>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</si>
  <si>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</si>
  <si>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</si>
  <si>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</si>
  <si>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</si>
  <si>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</si>
  <si>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</si>
  <si>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</si>
  <si>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</si>
  <si>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</si>
  <si>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</si>
  <si>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</si>
  <si>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</si>
  <si>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</si>
  <si>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</si>
  <si>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</si>
  <si>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</si>
  <si>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</si>
  <si>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</si>
  <si>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</si>
  <si>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</si>
  <si>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</si>
  <si>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</si>
  <si>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</si>
  <si>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</si>
  <si>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</si>
  <si>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</si>
  <si>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</si>
  <si>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</si>
  <si>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</si>
  <si>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</si>
  <si>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</si>
  <si>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</si>
  <si>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</si>
  <si>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</si>
  <si>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</si>
  <si>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</si>
  <si>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</si>
  <si>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</si>
  <si>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</si>
  <si>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</si>
  <si>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</si>
  <si>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</si>
  <si>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</si>
  <si>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</si>
  <si>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</si>
  <si>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</si>
  <si>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</si>
  <si>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</si>
  <si>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</si>
  <si>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</si>
  <si>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</si>
  <si>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</si>
  <si>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</si>
  <si>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</si>
  <si>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</si>
  <si>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</si>
  <si>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</si>
  <si>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</si>
  <si>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</si>
  <si>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</si>
  <si>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</si>
  <si>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</si>
  <si>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</si>
  <si>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</si>
  <si>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</si>
  <si>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</si>
  <si>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</si>
  <si>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</si>
  <si>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</si>
  <si>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</si>
  <si>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</si>
  <si>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</si>
  <si>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</si>
  <si>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</si>
  <si>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</si>
  <si>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</si>
  <si>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</si>
  <si>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</si>
  <si>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</si>
  <si>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</si>
  <si>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</si>
  <si>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</si>
  <si>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</si>
  <si>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</si>
  <si>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</si>
  <si>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</si>
  <si>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</si>
  <si>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</si>
  <si>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</si>
  <si>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</si>
  <si>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</si>
  <si>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</si>
  <si>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</si>
  <si>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</si>
  <si>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</si>
  <si>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</si>
  <si>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</si>
  <si>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</si>
  <si>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</si>
  <si>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</si>
  <si>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</si>
  <si>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</si>
  <si>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</si>
  <si>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</si>
  <si>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</si>
  <si>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</si>
  <si>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</si>
  <si>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</si>
  <si>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</si>
  <si>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</si>
  <si>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</si>
  <si>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</si>
  <si>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</si>
  <si>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</si>
  <si>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</si>
  <si>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</si>
  <si>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</si>
  <si>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</si>
  <si>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</si>
  <si>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</si>
  <si>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</si>
  <si>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</si>
  <si>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</si>
  <si>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</si>
  <si>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</si>
  <si>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</si>
  <si>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</si>
  <si>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</si>
  <si>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</si>
  <si>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</si>
  <si>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</si>
  <si>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</si>
  <si>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</si>
  <si>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</si>
  <si>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</si>
  <si>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</si>
  <si>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</si>
  <si>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</si>
  <si>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</si>
  <si>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</si>
  <si>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</si>
  <si>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</si>
  <si>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</si>
  <si>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</si>
  <si>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</si>
  <si>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</si>
  <si>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</si>
  <si>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</si>
  <si>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</si>
  <si>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</si>
  <si>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</si>
  <si>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</si>
  <si>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</si>
  <si>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</si>
  <si>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</si>
  <si>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</si>
  <si>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</si>
  <si>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</si>
  <si>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</si>
  <si>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</si>
  <si>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</si>
  <si>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</si>
  <si>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</si>
  <si>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</si>
  <si>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</si>
  <si>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</si>
  <si>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</si>
  <si>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</si>
  <si>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</si>
  <si>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</si>
  <si>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</si>
  <si>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</si>
  <si>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</si>
  <si>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</si>
  <si>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</si>
  <si>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</si>
  <si>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</si>
  <si>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</si>
  <si>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</si>
  <si>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</si>
  <si>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</si>
  <si>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</si>
  <si>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</si>
  <si>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</si>
  <si>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</si>
  <si>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</si>
  <si>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</si>
  <si>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</si>
  <si>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</si>
  <si>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</si>
  <si>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</si>
  <si>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</si>
  <si>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</si>
  <si>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</si>
  <si>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</si>
  <si>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</si>
  <si>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</si>
  <si>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</si>
  <si>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</si>
  <si>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</si>
  <si>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</si>
  <si>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</si>
  <si>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</si>
  <si>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</si>
  <si>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</si>
  <si>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</si>
  <si>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</si>
  <si>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</si>
  <si>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</si>
  <si>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</si>
  <si>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</si>
  <si>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</si>
  <si>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</si>
  <si>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</si>
  <si>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</si>
  <si>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</si>
  <si>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</si>
  <si>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</si>
  <si>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</si>
  <si>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</si>
  <si>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</si>
  <si>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</si>
  <si>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</si>
  <si>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</si>
  <si>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</si>
  <si>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</si>
  <si>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</si>
  <si>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</si>
  <si>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</si>
  <si>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</si>
  <si>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</si>
  <si>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</si>
  <si>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</si>
  <si>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</si>
  <si>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</si>
  <si>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</si>
  <si>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</si>
  <si>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</si>
  <si>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</si>
  <si>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</si>
  <si>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</si>
  <si>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</si>
  <si>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</si>
  <si>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</si>
  <si>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</si>
  <si>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</si>
  <si>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</si>
  <si>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</si>
  <si>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</si>
  <si>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</si>
  <si>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</si>
  <si>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</si>
  <si>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</si>
  <si>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</si>
  <si>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</si>
  <si>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</si>
  <si>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</si>
  <si>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</si>
  <si>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</si>
  <si>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</si>
  <si>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</si>
  <si>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</si>
  <si>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</si>
  <si>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</si>
  <si>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</si>
  <si>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</si>
  <si>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</si>
  <si>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</si>
  <si>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</si>
  <si>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</si>
  <si>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</si>
  <si>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</si>
  <si>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</si>
  <si>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</si>
  <si>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</si>
  <si>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</si>
  <si>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</si>
  <si>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</si>
  <si>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</si>
  <si>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</si>
  <si>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</si>
  <si>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</si>
  <si>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</si>
  <si>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</si>
  <si>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</si>
  <si>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</si>
  <si>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</si>
  <si>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</si>
  <si>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</si>
  <si>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</si>
  <si>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</si>
  <si>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</si>
  <si>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</si>
  <si>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</si>
  <si>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</si>
  <si>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</si>
  <si>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</si>
  <si>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</si>
  <si>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</si>
  <si>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</si>
  <si>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</si>
  <si>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</si>
  <si>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</si>
  <si>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</si>
  <si>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</si>
  <si>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</si>
  <si>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</si>
  <si>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</si>
  <si>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</si>
  <si>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</si>
  <si>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</si>
  <si>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</si>
  <si>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</si>
  <si>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</si>
  <si>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</si>
  <si>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</si>
  <si>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</si>
  <si>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</si>
  <si>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</si>
  <si>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</si>
  <si>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</si>
  <si>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</si>
  <si>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</si>
  <si>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</si>
  <si>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</si>
  <si>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</si>
  <si>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</si>
  <si>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</si>
  <si>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</si>
  <si>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</si>
  <si>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</si>
  <si>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</si>
  <si>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</si>
  <si>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</si>
  <si>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</si>
  <si>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</si>
  <si>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</si>
  <si>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</si>
  <si>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</si>
  <si>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</si>
  <si>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</si>
  <si>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</si>
  <si>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</si>
  <si>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</si>
  <si>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</si>
  <si>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</si>
  <si>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</si>
  <si>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</si>
  <si>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</si>
  <si>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</si>
  <si>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</si>
  <si>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</si>
  <si>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</si>
  <si>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</si>
  <si>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</si>
  <si>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</si>
  <si>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</si>
  <si>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</si>
  <si>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</si>
  <si>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</si>
  <si>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</si>
  <si>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</si>
  <si>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</si>
  <si>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</si>
  <si>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</si>
  <si>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</si>
  <si>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</si>
  <si>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</si>
  <si>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</si>
  <si>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</si>
  <si>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</si>
  <si>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</si>
  <si>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</si>
  <si>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</si>
  <si>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</si>
  <si>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</si>
  <si>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</si>
  <si>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</si>
  <si>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</si>
  <si>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</si>
  <si>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</si>
  <si>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</si>
  <si>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</si>
  <si>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</si>
  <si>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</si>
  <si>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</si>
  <si>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</si>
  <si>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</si>
  <si>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</si>
  <si>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</si>
  <si>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</si>
  <si>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</si>
  <si>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</si>
  <si>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</si>
  <si>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</si>
  <si>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</si>
  <si>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</si>
  <si>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</si>
  <si>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</si>
  <si>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</si>
  <si>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</si>
  <si>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</si>
  <si>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</si>
  <si>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</si>
  <si>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</si>
  <si>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</si>
  <si>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</si>
  <si>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</si>
  <si>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</si>
  <si>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</si>
  <si>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</si>
  <si>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</si>
  <si>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</si>
  <si>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</si>
  <si>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</si>
  <si>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</si>
  <si>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</si>
  <si>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</si>
  <si>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</si>
  <si>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</si>
  <si>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</si>
  <si>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</si>
  <si>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</si>
  <si>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</si>
  <si>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</si>
  <si>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</si>
  <si>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</si>
  <si>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</si>
  <si>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</si>
  <si>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</si>
  <si>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</si>
  <si>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</si>
  <si>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</si>
  <si>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</si>
  <si>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</si>
  <si>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</si>
  <si>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</si>
  <si>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</si>
  <si>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</si>
  <si>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</si>
  <si>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</si>
  <si>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</si>
  <si>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</si>
  <si>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</si>
  <si>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</si>
  <si>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</si>
  <si>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</si>
  <si>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</si>
  <si>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</si>
  <si>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</si>
  <si>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</si>
  <si>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</si>
  <si>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</si>
  <si>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</si>
  <si>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</si>
  <si>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</si>
  <si>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</si>
  <si>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</si>
  <si>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</si>
  <si>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</si>
  <si>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</si>
  <si>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</si>
  <si>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</si>
  <si>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</si>
  <si>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</si>
  <si>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</si>
  <si>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</si>
  <si>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</si>
  <si>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</si>
  <si>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</si>
  <si>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</si>
  <si>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</si>
  <si>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</si>
  <si>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</si>
  <si>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</si>
  <si>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</si>
  <si>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</si>
  <si>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</si>
  <si>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</si>
  <si>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</si>
  <si>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</si>
  <si>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</si>
  <si>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</si>
  <si>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</si>
  <si>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</si>
  <si>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</si>
  <si>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</si>
  <si>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</si>
  <si>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</si>
  <si>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</si>
  <si>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</si>
  <si>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</si>
  <si>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</si>
  <si>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</si>
  <si>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</si>
  <si>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</si>
  <si>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</si>
  <si>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</si>
  <si>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</si>
  <si>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</si>
  <si>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</si>
  <si>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</si>
  <si>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</si>
  <si>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</si>
  <si>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</si>
  <si>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</si>
  <si>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</si>
  <si>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</si>
  <si>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</si>
  <si>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</si>
  <si>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</si>
  <si>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</si>
  <si>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</si>
  <si>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</si>
  <si>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</si>
  <si>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</si>
  <si>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</si>
  <si>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</si>
  <si>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</si>
  <si>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</si>
  <si>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</si>
  <si>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</si>
  <si>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</si>
  <si>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</si>
  <si>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</si>
  <si>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</si>
  <si>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</si>
  <si>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</si>
  <si>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</si>
  <si>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</si>
  <si>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</si>
  <si>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</si>
  <si>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</si>
  <si>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</si>
  <si>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</si>
  <si>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</si>
  <si>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</si>
  <si>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</si>
  <si>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</si>
  <si>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</si>
  <si>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</si>
  <si>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</si>
  <si>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</si>
  <si>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</si>
  <si>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</si>
  <si>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</si>
  <si>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</si>
  <si>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</si>
  <si>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</si>
  <si>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</si>
  <si>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</si>
  <si>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</si>
  <si>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</si>
  <si>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</si>
  <si>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</si>
  <si>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</si>
  <si>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</si>
  <si>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</si>
  <si>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</si>
  <si>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</si>
  <si>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</si>
  <si>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</si>
  <si>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</si>
  <si>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</si>
  <si>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</si>
  <si>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</si>
  <si>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</si>
  <si>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</si>
  <si>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</si>
  <si>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</si>
  <si>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</si>
  <si>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</si>
  <si>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</si>
  <si>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</si>
  <si>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</si>
  <si>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</si>
  <si>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</si>
  <si>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</si>
  <si>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</si>
  <si>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</si>
  <si>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</si>
  <si>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</si>
  <si>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</si>
  <si>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</si>
  <si>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</si>
  <si>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</si>
  <si>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</si>
  <si>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</si>
  <si>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</si>
  <si>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</si>
  <si>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</si>
  <si>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</si>
  <si>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</si>
  <si>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</si>
  <si>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</si>
  <si>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</si>
  <si>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</si>
  <si>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</si>
  <si>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</si>
  <si>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</si>
  <si>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</si>
  <si>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</si>
  <si>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</si>
  <si>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</si>
  <si>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</si>
  <si>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</si>
  <si>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</si>
  <si>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</si>
  <si>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</si>
  <si>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</si>
  <si>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</si>
  <si>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</si>
  <si>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</si>
  <si>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</si>
  <si>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</si>
  <si>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</si>
  <si>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</si>
  <si>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</si>
  <si>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</si>
  <si>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</si>
  <si>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</si>
  <si>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</si>
  <si>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</si>
  <si>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</si>
  <si>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</si>
  <si>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</si>
  <si>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</si>
  <si>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</si>
  <si>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</si>
  <si>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</si>
  <si>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</si>
  <si>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</si>
  <si>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</si>
  <si>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</si>
  <si>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</si>
  <si>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</si>
  <si>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</si>
  <si>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</si>
  <si>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</si>
  <si>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</si>
  <si>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</si>
  <si>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</si>
  <si>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</si>
  <si>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</si>
  <si>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</si>
  <si>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</si>
  <si>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</si>
  <si>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</si>
  <si>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</si>
  <si>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</si>
  <si>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</si>
  <si>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</si>
  <si>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</si>
  <si>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</si>
  <si>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</si>
  <si>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</si>
  <si>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</si>
  <si>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</si>
  <si>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</si>
  <si>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</si>
  <si>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</si>
  <si>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</si>
  <si>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</si>
  <si>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</si>
  <si>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</si>
  <si>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</si>
  <si>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</si>
  <si>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</si>
  <si>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</si>
  <si>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</si>
  <si>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</si>
  <si>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</si>
  <si>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</si>
  <si>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</si>
  <si>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</si>
  <si>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</si>
  <si>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</si>
  <si>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</si>
  <si>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</si>
  <si>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</si>
  <si>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</si>
  <si>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</si>
  <si>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</si>
  <si>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</si>
  <si>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</si>
  <si>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</si>
  <si>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</si>
  <si>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</si>
  <si>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</si>
  <si>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</si>
  <si>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</si>
  <si>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</si>
  <si>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</si>
  <si>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</si>
  <si>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</si>
  <si>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</si>
  <si>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</si>
  <si>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</si>
  <si>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</si>
  <si>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</si>
  <si>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</si>
  <si>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</si>
  <si>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</si>
  <si>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</si>
  <si>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</si>
  <si>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</si>
  <si>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</si>
  <si>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</si>
  <si>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</si>
  <si>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</si>
  <si>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</si>
  <si>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</si>
  <si>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</si>
  <si>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</si>
  <si>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</si>
  <si>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</si>
  <si>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</si>
  <si>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</si>
  <si>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</si>
  <si>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</si>
  <si>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</si>
  <si>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</si>
  <si>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</si>
  <si>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</si>
  <si>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</si>
  <si>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</si>
  <si>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</si>
  <si>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</si>
  <si>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</si>
  <si>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</si>
  <si>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</si>
  <si>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</si>
  <si>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</si>
  <si>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</si>
  <si>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</si>
  <si>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</si>
  <si>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</si>
  <si>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</si>
  <si>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</si>
  <si>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</si>
  <si>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</si>
  <si>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</si>
  <si>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</si>
  <si>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</si>
  <si>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</si>
  <si>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</si>
  <si>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</si>
  <si>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</si>
  <si>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</si>
  <si>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</si>
  <si>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</si>
  <si>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</si>
  <si>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</si>
  <si>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</si>
  <si>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</si>
  <si>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</si>
  <si>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</si>
  <si>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</si>
  <si>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</si>
  <si>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</si>
  <si>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</si>
  <si>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</si>
  <si>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</si>
  <si>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</si>
  <si>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</si>
  <si>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</si>
  <si>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</si>
  <si>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</si>
  <si>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</si>
  <si>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</si>
  <si>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</si>
  <si>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</si>
  <si>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</si>
  <si>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</si>
  <si>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</si>
  <si>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</si>
  <si>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</si>
  <si>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</si>
  <si>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</si>
  <si>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</si>
  <si>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</si>
  <si>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</si>
  <si>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</si>
  <si>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</si>
  <si>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</si>
  <si>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</si>
  <si>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</si>
  <si>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</si>
  <si>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</si>
  <si>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</si>
  <si>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</si>
  <si>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</si>
  <si>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</si>
  <si>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</si>
  <si>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</si>
  <si>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</si>
  <si>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</si>
  <si>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</si>
  <si>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</si>
  <si>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</si>
  <si>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</si>
  <si>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</si>
  <si>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</si>
  <si>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</si>
  <si>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</si>
  <si>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</si>
  <si>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</si>
  <si>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</si>
  <si>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</si>
  <si>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</si>
  <si>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</si>
  <si>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</si>
  <si>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</si>
  <si>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</si>
  <si>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</si>
  <si>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</si>
  <si>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</si>
  <si>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</si>
  <si>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</si>
  <si>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</si>
  <si>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</si>
  <si>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</si>
  <si>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</si>
  <si>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</si>
  <si>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</si>
  <si>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</si>
  <si>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</si>
  <si>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</si>
  <si>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</si>
  <si>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</si>
  <si>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</si>
  <si>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</si>
  <si>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</si>
  <si>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</si>
  <si>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</si>
  <si>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</si>
  <si>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</si>
  <si>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</si>
  <si>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</si>
  <si>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</si>
  <si>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</si>
  <si>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</si>
  <si>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</si>
  <si>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</si>
  <si>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</si>
  <si>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</si>
  <si>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</si>
  <si>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</si>
  <si>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</si>
  <si>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</si>
  <si>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</si>
  <si>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</si>
  <si>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</si>
  <si>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</si>
  <si>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</si>
  <si>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</si>
  <si>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</si>
  <si>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</si>
  <si>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</si>
  <si>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</si>
  <si>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</si>
  <si>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</si>
  <si>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</si>
  <si>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</si>
  <si>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</si>
  <si>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</si>
  <si>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</si>
  <si>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</si>
  <si>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</si>
  <si>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</si>
  <si>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</si>
  <si>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</si>
  <si>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</si>
  <si>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</si>
  <si>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</si>
  <si>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</si>
  <si>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</si>
  <si>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</si>
  <si>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</si>
  <si>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</si>
  <si>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</si>
  <si>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</si>
  <si>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</si>
  <si>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</si>
  <si>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</si>
  <si>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</si>
  <si>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</si>
  <si>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</si>
  <si>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</si>
  <si>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</si>
  <si>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</si>
  <si>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</si>
  <si>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</si>
  <si>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</si>
  <si>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</si>
  <si>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</si>
  <si>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</si>
  <si>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</si>
  <si>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</si>
  <si>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</si>
  <si>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</si>
  <si>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</si>
  <si>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</si>
  <si>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</si>
  <si>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</si>
  <si>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</si>
  <si>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</si>
  <si>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</si>
  <si>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</si>
  <si>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</si>
  <si>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</si>
  <si>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</si>
  <si>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</si>
  <si>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</si>
  <si>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</si>
  <si>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</si>
  <si>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</si>
  <si>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</si>
  <si>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</si>
  <si>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</si>
  <si>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</si>
  <si>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</si>
  <si>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</si>
  <si>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</si>
  <si>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</si>
  <si>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</si>
  <si>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</si>
  <si>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</si>
  <si>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</si>
  <si>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</si>
  <si>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</si>
  <si>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</si>
  <si>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</si>
  <si>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</si>
  <si>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</si>
  <si>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</si>
  <si>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</si>
  <si>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</si>
  <si>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</si>
  <si>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</si>
  <si>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</si>
  <si>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</si>
  <si>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</si>
  <si>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</si>
  <si>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</si>
  <si>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</si>
  <si>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</si>
  <si>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</si>
  <si>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</si>
  <si>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</si>
  <si>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</si>
  <si>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</si>
  <si>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</si>
  <si>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</si>
  <si>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</si>
  <si>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</si>
  <si>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</si>
  <si>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</si>
  <si>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</si>
  <si>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</si>
  <si>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</si>
  <si>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</si>
  <si>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</si>
  <si>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</si>
  <si>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</si>
  <si>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</si>
  <si>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</si>
  <si>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</si>
  <si>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</si>
  <si>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</si>
  <si>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</si>
  <si>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</si>
  <si>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</si>
  <si>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</si>
  <si>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</si>
  <si>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</si>
  <si>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</si>
  <si>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</si>
  <si>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</si>
  <si>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</si>
  <si>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</si>
  <si>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</si>
  <si>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</si>
  <si>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</si>
  <si>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</si>
  <si>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</si>
  <si>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</si>
  <si>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</si>
  <si>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</si>
  <si>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</si>
  <si>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</si>
  <si>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</si>
  <si>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</si>
  <si>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</si>
  <si>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</si>
  <si>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</si>
  <si>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</si>
  <si>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</si>
  <si>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</si>
  <si>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</si>
  <si>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</si>
  <si>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</si>
  <si>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</si>
  <si>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</si>
  <si>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</si>
  <si>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</si>
  <si>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</si>
  <si>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</si>
  <si>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</si>
  <si>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</si>
  <si>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</si>
  <si>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</si>
  <si>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</si>
  <si>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</si>
  <si>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</si>
  <si>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</si>
  <si>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</si>
  <si>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</si>
  <si>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</si>
  <si>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</si>
  <si>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</si>
  <si>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</si>
  <si>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</si>
  <si>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</si>
  <si>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</si>
  <si>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</si>
  <si>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</si>
  <si>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</si>
  <si>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</si>
  <si>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</si>
  <si>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</si>
  <si>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</si>
  <si>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</si>
  <si>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</si>
  <si>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</si>
  <si>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</si>
  <si>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</si>
  <si>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</si>
  <si>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</si>
  <si>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</si>
  <si>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</si>
  <si>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</si>
  <si>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</si>
  <si>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</si>
  <si>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</si>
  <si>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</si>
  <si>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</si>
  <si>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</si>
  <si>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</si>
  <si>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</si>
  <si>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</si>
  <si>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</si>
  <si>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</si>
  <si>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</si>
  <si>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</si>
  <si>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</si>
  <si>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</si>
  <si>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</si>
  <si>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</si>
  <si>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</si>
  <si>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</si>
  <si>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</si>
  <si>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</si>
  <si>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</si>
  <si>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</si>
  <si>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</si>
  <si>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</si>
  <si>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</si>
  <si>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</si>
  <si>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</si>
  <si>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</si>
  <si>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</si>
  <si>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</si>
  <si>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</si>
  <si>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</si>
  <si>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</si>
  <si>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</si>
  <si>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</si>
  <si>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</si>
  <si>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</si>
  <si>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</si>
  <si>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</si>
  <si>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</si>
  <si>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</si>
  <si>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</si>
  <si>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</si>
  <si>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</si>
  <si>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</si>
  <si>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</si>
  <si>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</si>
  <si>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</si>
  <si>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</si>
  <si>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</si>
  <si>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</si>
  <si>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</si>
  <si>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</si>
  <si>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</si>
  <si>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</si>
  <si>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</si>
  <si>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</si>
  <si>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</si>
  <si>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</si>
  <si>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</si>
  <si>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</si>
  <si>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</si>
  <si>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</si>
  <si>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</si>
  <si>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</si>
  <si>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</si>
  <si>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</si>
  <si>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</si>
  <si>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</si>
  <si>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</si>
  <si>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</si>
  <si>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</si>
  <si>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</si>
  <si>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</si>
  <si>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</si>
  <si>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</si>
  <si>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</si>
  <si>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</si>
  <si>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</si>
  <si>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</si>
  <si>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</si>
  <si>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</si>
  <si>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</si>
  <si>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</si>
  <si>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</si>
  <si>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</si>
  <si>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</si>
  <si>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</si>
  <si>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</si>
  <si>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</si>
  <si>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</si>
  <si>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</si>
  <si>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</si>
  <si>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</si>
  <si>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</si>
  <si>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</si>
  <si>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</si>
  <si>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</si>
  <si>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</si>
  <si>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</si>
  <si>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</si>
  <si>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</si>
  <si>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</si>
  <si>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</si>
  <si>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</si>
  <si>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</si>
  <si>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</si>
  <si>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</si>
  <si>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</si>
  <si>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</si>
  <si>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</si>
  <si>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</si>
  <si>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</si>
  <si>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</si>
  <si>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</si>
  <si>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</si>
  <si>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</si>
  <si>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</si>
  <si>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</si>
  <si>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</si>
  <si>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</si>
  <si>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</si>
  <si>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</si>
  <si>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</si>
  <si>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</si>
  <si>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</si>
  <si>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</si>
  <si>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</si>
  <si>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</si>
  <si>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</si>
  <si>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</si>
  <si>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</si>
  <si>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</si>
  <si>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</si>
  <si>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</si>
  <si>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</si>
  <si>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</si>
  <si>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</si>
  <si>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</si>
  <si>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</si>
  <si>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</si>
  <si>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</si>
  <si>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</si>
  <si>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</si>
  <si>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</si>
  <si>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</si>
  <si>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</si>
  <si>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</si>
  <si>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</si>
  <si>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</si>
  <si>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</si>
  <si>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</si>
  <si>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</si>
  <si>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</si>
  <si>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</si>
  <si>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</si>
  <si>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</si>
  <si>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</si>
  <si>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</si>
  <si>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</si>
  <si>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</si>
  <si>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</si>
  <si>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</si>
  <si>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</si>
  <si>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</si>
  <si>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</si>
  <si>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</si>
  <si>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</si>
  <si>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</si>
  <si>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</si>
  <si>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</si>
  <si>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</si>
  <si>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</si>
  <si>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</si>
  <si>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</si>
  <si>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</si>
  <si>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</si>
  <si>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</si>
  <si>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</si>
  <si>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</si>
  <si>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</si>
  <si>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</si>
  <si>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</si>
  <si>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</si>
  <si>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</si>
  <si>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</si>
  <si>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</si>
  <si>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</si>
  <si>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</si>
  <si>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</si>
  <si>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</si>
  <si>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</si>
  <si>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</si>
  <si>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</si>
  <si>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</si>
  <si>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</si>
  <si>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</si>
  <si>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</si>
  <si>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</si>
  <si>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</si>
  <si>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</si>
  <si>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</si>
  <si>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</si>
  <si>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</si>
  <si>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</si>
  <si>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</si>
  <si>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</si>
  <si>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</si>
  <si>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</si>
  <si>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</si>
  <si>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</si>
  <si>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</si>
  <si>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</si>
  <si>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</si>
  <si>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</si>
  <si>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</si>
  <si>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</si>
  <si>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</si>
  <si>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</si>
  <si>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</si>
  <si>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</si>
  <si>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</si>
  <si>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</si>
  <si>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</si>
  <si>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</si>
  <si>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</si>
  <si>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</si>
  <si>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</si>
  <si>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</si>
  <si>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</si>
  <si>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</si>
  <si>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</si>
  <si>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</si>
  <si>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</si>
  <si>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</si>
  <si>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</si>
  <si>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</si>
  <si>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</si>
  <si>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</si>
  <si>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</si>
  <si>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</si>
  <si>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</si>
  <si>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</si>
  <si>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</si>
  <si>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</si>
  <si>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</si>
  <si>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</si>
  <si>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</si>
  <si>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</si>
  <si>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</si>
  <si>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</si>
  <si>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</si>
  <si>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</si>
  <si>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</si>
  <si>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</si>
  <si>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</si>
  <si>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</si>
  <si>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</si>
  <si>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</si>
  <si>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</si>
  <si>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</si>
  <si>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</si>
  <si>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</si>
  <si>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</si>
  <si>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</si>
  <si>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</si>
  <si>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</si>
  <si>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</si>
  <si>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</si>
  <si>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</si>
  <si>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</si>
  <si>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</si>
  <si>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</si>
  <si>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</si>
  <si>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</si>
  <si>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</si>
  <si>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</si>
  <si>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</si>
  <si>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</si>
  <si>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</si>
  <si>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</si>
  <si>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</si>
  <si>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</si>
  <si>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</si>
  <si>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</si>
  <si>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</si>
  <si>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</si>
  <si>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</si>
  <si>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</si>
  <si>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</si>
  <si>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</si>
  <si>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</si>
  <si>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</si>
  <si>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</si>
  <si>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</si>
  <si>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</si>
  <si>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</si>
  <si>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</si>
  <si>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</si>
  <si>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</si>
  <si>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</si>
  <si>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</si>
  <si>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</si>
  <si>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</si>
  <si>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</si>
  <si>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</si>
  <si>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</si>
  <si>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</si>
  <si>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</si>
  <si>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</si>
  <si>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</si>
  <si>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</si>
  <si>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</si>
  <si>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</si>
  <si>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</si>
  <si>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</si>
  <si>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</si>
  <si>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</si>
  <si>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</si>
  <si>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</si>
  <si>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</si>
  <si>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</si>
  <si>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</si>
  <si>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</si>
  <si>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</si>
  <si>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</si>
  <si>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</si>
  <si>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</si>
  <si>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</si>
  <si>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</si>
  <si>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</si>
  <si>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</si>
  <si>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</si>
  <si>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</si>
  <si>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</si>
  <si>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</si>
  <si>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</si>
  <si>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</si>
  <si>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</si>
  <si>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</si>
  <si>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</si>
  <si>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</si>
  <si>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</si>
  <si>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</si>
  <si>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</si>
  <si>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</si>
  <si>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</si>
  <si>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</si>
  <si>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</si>
  <si>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</si>
  <si>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</si>
  <si>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</si>
  <si>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</si>
  <si>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</si>
  <si>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</si>
  <si>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</si>
  <si>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</si>
  <si>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</si>
  <si>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</si>
  <si>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</si>
  <si>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</si>
  <si>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</si>
  <si>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</si>
  <si>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</si>
  <si>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</si>
  <si>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</si>
  <si>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</si>
  <si>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</si>
  <si>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</si>
  <si>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</si>
  <si>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</si>
  <si>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</si>
  <si>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</si>
  <si>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</si>
  <si>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</si>
  <si>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</si>
  <si>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</si>
  <si>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</si>
  <si>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</si>
  <si>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</si>
  <si>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</si>
  <si>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</si>
  <si>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</si>
  <si>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</si>
  <si>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</si>
  <si>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</si>
  <si>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</si>
  <si>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</si>
  <si>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</si>
  <si>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</si>
  <si>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</si>
  <si>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</si>
  <si>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</si>
  <si>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</si>
  <si>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</si>
  <si>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</si>
  <si>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</si>
  <si>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</si>
  <si>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</si>
  <si>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</si>
  <si>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</si>
  <si>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</si>
  <si>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</si>
  <si>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</si>
  <si>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</si>
  <si>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</si>
  <si>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</si>
  <si>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</si>
  <si>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</si>
  <si>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</si>
  <si>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</si>
  <si>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</si>
  <si>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</si>
  <si>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</si>
  <si>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</si>
  <si>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</si>
  <si>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</si>
  <si>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</si>
  <si>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</si>
  <si>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</si>
  <si>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</si>
  <si>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</si>
  <si>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</si>
  <si>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</si>
  <si>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</si>
  <si>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</si>
  <si>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</si>
  <si>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</si>
  <si>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</si>
  <si>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</si>
  <si>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</si>
  <si>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</si>
  <si>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</si>
  <si>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</si>
  <si>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</si>
  <si>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</si>
  <si>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</si>
  <si>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</si>
  <si>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</si>
  <si>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</si>
  <si>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</si>
  <si>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</si>
  <si>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</si>
  <si>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</si>
  <si>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</si>
  <si>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</si>
  <si>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</si>
  <si>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</si>
  <si>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</si>
  <si>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</si>
  <si>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</si>
  <si>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</si>
  <si>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</si>
  <si>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</si>
  <si>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</si>
  <si>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</si>
  <si>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</si>
  <si>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</si>
  <si>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</si>
  <si>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</si>
  <si>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</si>
  <si>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</si>
  <si>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</si>
  <si>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</si>
  <si>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</si>
  <si>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</si>
  <si>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</si>
  <si>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</si>
  <si>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</si>
  <si>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</si>
  <si>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</si>
  <si>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</si>
  <si>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</si>
  <si>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</si>
  <si>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</si>
  <si>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</si>
  <si>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</si>
  <si>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</si>
  <si>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</si>
  <si>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</si>
  <si>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</si>
  <si>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</si>
  <si>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</si>
  <si>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</si>
  <si>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</si>
  <si>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</si>
  <si>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</si>
  <si>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</si>
  <si>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</si>
  <si>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</si>
  <si>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</si>
  <si>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</si>
  <si>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</si>
  <si>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</si>
  <si>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</si>
  <si>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</si>
  <si>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</si>
  <si>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</si>
  <si>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</si>
  <si>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</si>
  <si>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</si>
  <si>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</si>
  <si>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</si>
  <si>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</si>
  <si>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</si>
  <si>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</si>
  <si>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</si>
  <si>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</si>
  <si>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</si>
  <si>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</si>
  <si>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</si>
  <si>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</si>
  <si>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</si>
  <si>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</si>
  <si>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</si>
  <si>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</si>
  <si>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</si>
  <si>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</si>
  <si>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</si>
  <si>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</si>
  <si>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</si>
  <si>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</si>
  <si>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</si>
  <si>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</si>
  <si>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</si>
  <si>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</si>
  <si>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</si>
  <si>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</si>
  <si>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</si>
  <si>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</si>
  <si>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</si>
  <si>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</si>
  <si>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</si>
  <si>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</si>
  <si>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</si>
  <si>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</si>
  <si>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</si>
  <si>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</si>
  <si>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</si>
  <si>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</si>
  <si>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</si>
  <si>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</si>
  <si>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</si>
  <si>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</si>
  <si>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</si>
  <si>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</si>
  <si>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</si>
  <si>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</si>
  <si>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</si>
  <si>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</si>
  <si>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</si>
  <si>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</si>
  <si>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</si>
  <si>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</si>
  <si>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</si>
  <si>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</si>
  <si>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</si>
  <si>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</si>
  <si>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</si>
  <si>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</si>
  <si>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</si>
  <si>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</si>
  <si>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</si>
  <si>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</si>
  <si>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</si>
  <si>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</si>
  <si>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</si>
  <si>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</si>
  <si>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</si>
  <si>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</si>
  <si>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</si>
  <si>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</si>
  <si>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</si>
  <si>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</si>
  <si>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</si>
  <si>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</si>
  <si>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</si>
  <si>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</si>
  <si>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</si>
  <si>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</si>
  <si>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</si>
  <si>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</si>
  <si>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</si>
  <si>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</si>
  <si>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</si>
  <si>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</si>
  <si>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</si>
  <si>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</si>
  <si>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</si>
  <si>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</si>
  <si>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</si>
  <si>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</si>
  <si>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</si>
  <si>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</si>
  <si>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</si>
  <si>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</si>
  <si>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</si>
  <si>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</si>
  <si>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</si>
  <si>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</si>
  <si>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</si>
  <si>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</si>
  <si>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</si>
  <si>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</si>
  <si>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</si>
  <si>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</si>
  <si>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</si>
  <si>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</si>
  <si>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</si>
  <si>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</si>
  <si>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</si>
  <si>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</si>
  <si>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</si>
  <si>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</si>
  <si>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</si>
  <si>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</si>
  <si>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</si>
  <si>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</si>
  <si>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</si>
  <si>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</si>
  <si>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</si>
  <si>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</si>
  <si>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</si>
  <si>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</si>
  <si>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</si>
  <si>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</si>
  <si>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</si>
  <si>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</si>
  <si>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</si>
  <si>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</si>
  <si>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</si>
  <si>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</si>
  <si>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</si>
  <si>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</si>
  <si>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</si>
  <si>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</si>
  <si>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</si>
  <si>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</si>
  <si>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</si>
  <si>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</si>
  <si>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</si>
  <si>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</si>
  <si>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</si>
  <si>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</si>
  <si>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</si>
  <si>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</si>
  <si>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</si>
  <si>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</si>
  <si>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</si>
  <si>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</si>
  <si>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</si>
  <si>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</si>
  <si>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</si>
  <si>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</si>
  <si>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</si>
  <si>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</si>
  <si>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</si>
  <si>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</si>
  <si>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</si>
  <si>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</si>
  <si>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</si>
  <si>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</si>
  <si>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</si>
  <si>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</si>
  <si>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</si>
  <si>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</si>
  <si>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</si>
  <si>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</si>
  <si>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</si>
  <si>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</si>
  <si>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</si>
  <si>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</si>
  <si>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</si>
  <si>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</si>
  <si>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</si>
  <si>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</si>
  <si>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</si>
  <si>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</si>
  <si>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</si>
  <si>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</si>
  <si>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</si>
  <si>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</si>
  <si>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</si>
  <si>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</si>
  <si>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</si>
  <si>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</si>
  <si>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</si>
  <si>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</si>
  <si>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</si>
  <si>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</si>
  <si>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</si>
  <si>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</si>
  <si>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</si>
  <si>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</si>
  <si>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</si>
  <si>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</si>
  <si>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</si>
  <si>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</si>
  <si>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</si>
  <si>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</si>
  <si>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</si>
  <si>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</si>
  <si>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</si>
  <si>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</si>
  <si>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</si>
  <si>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</si>
  <si>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</si>
  <si>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</si>
  <si>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</si>
  <si>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</si>
  <si>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</si>
  <si>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</si>
  <si>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</si>
  <si>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</si>
  <si>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</si>
  <si>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</si>
  <si>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</si>
  <si>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</si>
  <si>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</si>
  <si>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</si>
  <si>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</si>
  <si>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</si>
  <si>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</si>
  <si>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</si>
  <si>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</si>
  <si>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</si>
  <si>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</si>
  <si>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</si>
  <si>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</si>
  <si>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</si>
  <si>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</si>
  <si>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</si>
  <si>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</si>
  <si>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</si>
  <si>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</si>
  <si>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</si>
  <si>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</si>
  <si>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</si>
  <si>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</si>
  <si>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</si>
  <si>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</si>
  <si>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</si>
  <si>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</si>
  <si>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</si>
  <si>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</si>
  <si>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</si>
  <si>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</si>
  <si>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</si>
  <si>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</si>
  <si>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</si>
  <si>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</si>
  <si>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</si>
  <si>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</si>
  <si>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</si>
  <si>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</si>
  <si>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</si>
  <si>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</si>
  <si>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</si>
  <si>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</si>
  <si>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</si>
  <si>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</si>
  <si>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</si>
  <si>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</si>
  <si>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</si>
  <si>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</si>
  <si>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</si>
  <si>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</si>
  <si>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</si>
  <si>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</si>
  <si>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</si>
  <si>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</si>
  <si>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</si>
  <si>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</si>
  <si>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</si>
  <si>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</si>
  <si>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</si>
  <si>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</si>
  <si>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</si>
  <si>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</si>
  <si>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</si>
  <si>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</si>
  <si>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</si>
  <si>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</si>
  <si>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</si>
  <si>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</si>
  <si>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</si>
  <si>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</si>
  <si>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</si>
  <si>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</si>
  <si>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</si>
  <si>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</si>
  <si>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</si>
  <si>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</si>
  <si>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</si>
  <si>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</si>
  <si>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</si>
  <si>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</si>
  <si>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</si>
  <si>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</si>
  <si>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</si>
  <si>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</si>
  <si>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</si>
  <si>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</si>
  <si>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</si>
  <si>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</si>
  <si>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</si>
  <si>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</si>
  <si>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</si>
  <si>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</si>
  <si>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</si>
  <si>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</si>
  <si>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</si>
  <si>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</si>
  <si>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</si>
  <si>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</si>
  <si>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</si>
  <si>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</si>
  <si>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</si>
  <si>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</si>
  <si>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</si>
  <si>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</si>
  <si>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</si>
  <si>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</si>
  <si>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</si>
  <si>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</si>
  <si>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</si>
  <si>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</si>
  <si>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</si>
  <si>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</si>
  <si>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</si>
  <si>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</si>
  <si>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</si>
  <si>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</si>
  <si>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</si>
  <si>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</si>
  <si>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</si>
  <si>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</si>
  <si>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</si>
  <si>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</si>
  <si>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</si>
  <si>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</si>
  <si>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</si>
  <si>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</si>
  <si>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</si>
  <si>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</si>
  <si>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</si>
  <si>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</si>
  <si>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</si>
  <si>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</si>
  <si>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</si>
  <si>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</si>
  <si>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</si>
  <si>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</si>
  <si>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</si>
  <si>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</si>
  <si>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</si>
  <si>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</si>
  <si>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</si>
  <si>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</si>
  <si>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</si>
  <si>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</si>
  <si>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</si>
  <si>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</si>
  <si>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</si>
  <si>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</si>
  <si>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</si>
  <si>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</si>
  <si>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</si>
  <si>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</si>
  <si>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</si>
  <si>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</si>
  <si>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</si>
  <si>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</si>
  <si>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</si>
  <si>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</si>
  <si>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</si>
  <si>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</si>
  <si>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</si>
  <si>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</si>
  <si>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</si>
  <si>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</si>
  <si>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</si>
  <si>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</si>
  <si>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</si>
  <si>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</si>
  <si>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</si>
  <si>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</si>
  <si>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</si>
  <si>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</si>
  <si>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</si>
  <si>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</si>
  <si>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</si>
  <si>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</si>
  <si>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</si>
  <si>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</si>
  <si>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</si>
  <si>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</si>
  <si>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</si>
  <si>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</si>
  <si>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</si>
  <si>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</si>
  <si>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</si>
  <si>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</si>
  <si>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</si>
  <si>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</si>
  <si>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</si>
  <si>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</si>
  <si>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</si>
  <si>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</si>
  <si>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</si>
  <si>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</si>
  <si>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</si>
  <si>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</si>
  <si>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</si>
  <si>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</si>
  <si>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</si>
  <si>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</si>
  <si>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</si>
  <si>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</si>
  <si>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</si>
  <si>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</si>
  <si>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</si>
  <si>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</si>
  <si>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</si>
  <si>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</si>
  <si>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</si>
  <si>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</si>
  <si>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</si>
  <si>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</si>
  <si>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</si>
  <si>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</si>
  <si>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</si>
  <si>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</si>
  <si>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</si>
  <si>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</si>
  <si>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</si>
  <si>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</si>
  <si>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</si>
  <si>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</si>
  <si>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</si>
  <si>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</si>
  <si>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</si>
  <si>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</si>
  <si>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</si>
  <si>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</si>
  <si>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</si>
  <si>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</si>
  <si>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</si>
  <si>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</si>
  <si>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</si>
  <si>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</si>
  <si>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</si>
  <si>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</si>
  <si>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</si>
  <si>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</si>
  <si>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</si>
  <si>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</si>
  <si>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</si>
  <si>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</si>
  <si>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</si>
  <si>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</si>
  <si>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</si>
  <si>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</si>
  <si>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</si>
  <si>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</si>
  <si>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</si>
  <si>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</si>
  <si>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</si>
  <si>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</si>
  <si>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</si>
  <si>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</si>
  <si>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</si>
  <si>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</si>
  <si>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</si>
  <si>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</si>
  <si>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</si>
  <si>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</si>
  <si>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</si>
  <si>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</si>
  <si>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</si>
  <si>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</si>
  <si>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</si>
  <si>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</si>
  <si>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</si>
  <si>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</si>
  <si>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</si>
  <si>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</si>
  <si>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</si>
  <si>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</si>
  <si>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</si>
  <si>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</si>
  <si>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</si>
  <si>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</si>
  <si>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</si>
  <si>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</si>
  <si>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</si>
  <si>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</si>
  <si>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</si>
  <si>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</si>
  <si>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</si>
  <si>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</si>
  <si>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</si>
  <si>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</si>
  <si>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</si>
  <si>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</si>
  <si>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</si>
  <si>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</si>
  <si>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</si>
  <si>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</si>
  <si>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</si>
  <si>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</si>
  <si>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</si>
  <si>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</si>
  <si>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</si>
  <si>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</si>
  <si>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</si>
  <si>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</si>
  <si>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</si>
  <si>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</si>
  <si>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</si>
  <si>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</si>
  <si>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</si>
  <si>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</si>
  <si>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</si>
  <si>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</si>
  <si>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</si>
  <si>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</si>
  <si>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</si>
  <si>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</si>
  <si>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</si>
  <si>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</si>
  <si>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</si>
  <si>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</si>
  <si>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</si>
  <si>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</si>
  <si>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</si>
  <si>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</si>
  <si>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</si>
  <si>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</si>
  <si>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</si>
  <si>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</si>
  <si>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</si>
  <si>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</si>
  <si>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</si>
  <si>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</si>
  <si>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</si>
  <si>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</si>
  <si>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</si>
  <si>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</si>
  <si>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</si>
  <si>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</si>
  <si>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</si>
  <si>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</si>
  <si>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</si>
  <si>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</si>
  <si>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</si>
  <si>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</si>
  <si>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</si>
  <si>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</si>
  <si>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</si>
  <si>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</si>
  <si>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</si>
  <si>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</si>
  <si>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</si>
  <si>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</si>
  <si>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</si>
  <si>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</si>
  <si>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</si>
  <si>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</si>
  <si>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</si>
  <si>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</si>
  <si>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</si>
  <si>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</si>
  <si>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</si>
  <si>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</si>
  <si>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</si>
  <si>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</si>
  <si>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</si>
  <si>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</si>
  <si>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</si>
  <si>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</si>
  <si>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</si>
  <si>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</si>
  <si>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</si>
  <si>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</si>
  <si>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</si>
  <si>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</si>
  <si>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</si>
  <si>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</si>
  <si>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</si>
  <si>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</si>
  <si>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</si>
  <si>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</si>
  <si>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</si>
  <si>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</si>
  <si>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</si>
  <si>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</si>
  <si>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</si>
  <si>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</si>
  <si>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</si>
  <si>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</si>
  <si>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</si>
  <si>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</si>
  <si>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</si>
  <si>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</si>
  <si>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</si>
  <si>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</si>
  <si>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</si>
  <si>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</si>
  <si>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</si>
  <si>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</si>
  <si>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</si>
  <si>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</si>
  <si>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</si>
  <si>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</si>
  <si>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</si>
  <si>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</si>
  <si>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</si>
  <si>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</si>
  <si>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</si>
  <si>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</si>
  <si>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</si>
  <si>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</si>
  <si>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</si>
  <si>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</si>
  <si>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</si>
  <si>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</si>
  <si>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</si>
  <si>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</si>
  <si>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</si>
  <si>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</si>
  <si>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</si>
  <si>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</si>
  <si>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</si>
  <si>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</si>
  <si>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</si>
  <si>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</si>
  <si>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</si>
  <si>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</si>
  <si>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</si>
  <si>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</si>
  <si>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</si>
  <si>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</si>
  <si>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</si>
  <si>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</si>
  <si>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</si>
  <si>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</si>
  <si>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</si>
  <si>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</si>
  <si>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</si>
  <si>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</si>
  <si>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</si>
  <si>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</si>
  <si>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</si>
  <si>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</si>
  <si>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</si>
  <si>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</si>
  <si>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</si>
  <si>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</si>
  <si>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</si>
  <si>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</si>
  <si>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</si>
  <si>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</si>
  <si>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</si>
  <si>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</si>
  <si>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</si>
  <si>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</si>
  <si>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</si>
  <si>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</si>
  <si>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</si>
  <si>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</si>
  <si>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</si>
  <si>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</si>
  <si>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</si>
  <si>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</si>
  <si>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</si>
  <si>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</si>
  <si>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</si>
  <si>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</si>
  <si>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</si>
  <si>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</si>
  <si>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</si>
  <si>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</si>
  <si>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</si>
  <si>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</si>
  <si>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</si>
  <si>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</si>
  <si>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</si>
  <si>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</si>
  <si>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</si>
  <si>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</si>
  <si>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</si>
  <si>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</si>
  <si>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</si>
  <si>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</si>
  <si>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</si>
  <si>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</si>
  <si>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</si>
  <si>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</si>
  <si>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</si>
  <si>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</si>
  <si>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</si>
  <si>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</si>
  <si>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</si>
  <si>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</si>
  <si>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</si>
  <si>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</si>
  <si>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</si>
  <si>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</si>
  <si>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</si>
  <si>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</si>
  <si>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</si>
  <si>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</si>
  <si>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</si>
  <si>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</si>
  <si>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</si>
  <si>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</si>
  <si>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</si>
  <si>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</si>
  <si>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</si>
  <si>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</si>
  <si>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</si>
  <si>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</si>
  <si>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</si>
  <si>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</si>
  <si>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</si>
  <si>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</si>
  <si>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</si>
  <si>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</si>
  <si>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</si>
  <si>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</si>
  <si>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</si>
  <si>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</si>
  <si>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</si>
  <si>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</si>
  <si>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</si>
  <si>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</si>
  <si>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</si>
  <si>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</si>
  <si>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</si>
  <si>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</si>
  <si>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</si>
  <si>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</si>
  <si>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</si>
  <si>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</si>
  <si>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</si>
  <si>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</si>
  <si>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</si>
  <si>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</si>
  <si>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</si>
  <si>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</si>
  <si>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</si>
  <si>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</si>
  <si>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</si>
  <si>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</si>
  <si>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</si>
  <si>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</si>
  <si>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</si>
  <si>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</si>
  <si>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</si>
  <si>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</si>
  <si>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</si>
  <si>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</si>
  <si>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</si>
  <si>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</si>
  <si>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</si>
  <si>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</si>
  <si>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</si>
  <si>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</si>
  <si>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</si>
  <si>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</si>
  <si>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</si>
  <si>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</si>
  <si>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</si>
  <si>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</si>
  <si>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</si>
  <si>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</si>
  <si>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</si>
  <si>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</si>
  <si>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</si>
  <si>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</si>
  <si>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</si>
  <si>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</si>
  <si>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</si>
  <si>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</si>
  <si>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</si>
  <si>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</si>
  <si>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</si>
  <si>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</si>
  <si>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</si>
  <si>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</si>
  <si>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</si>
  <si>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</si>
  <si>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</si>
  <si>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</si>
  <si>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</si>
  <si>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</si>
  <si>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</si>
  <si>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</si>
  <si>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</si>
  <si>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</si>
  <si>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</si>
  <si>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</si>
  <si>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</si>
  <si>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</si>
  <si>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</si>
  <si>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</si>
  <si>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</si>
  <si>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</si>
  <si>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</si>
  <si>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</si>
  <si>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</si>
  <si>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</si>
  <si>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</si>
  <si>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</si>
  <si>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</si>
  <si>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</si>
  <si>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</si>
  <si>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</si>
  <si>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</si>
  <si>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</si>
  <si>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</si>
  <si>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</si>
  <si>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</si>
  <si>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</si>
  <si>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</si>
  <si>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</si>
  <si>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</si>
  <si>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</si>
  <si>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</si>
  <si>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</si>
  <si>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</si>
  <si>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</si>
  <si>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</si>
  <si>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</si>
  <si>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</si>
  <si>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</si>
  <si>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</si>
  <si>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</si>
  <si>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</si>
  <si>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</si>
  <si>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</si>
  <si>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</si>
  <si>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</si>
  <si>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</si>
  <si>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</si>
  <si>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</si>
  <si>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</si>
  <si>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</si>
  <si>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</si>
  <si>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</si>
  <si>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</si>
  <si>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</si>
  <si>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</si>
  <si>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</si>
  <si>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</si>
  <si>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</si>
  <si>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</si>
  <si>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</si>
  <si>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</si>
  <si>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</si>
  <si>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</si>
  <si>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</si>
  <si>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</si>
  <si>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</si>
  <si>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</si>
  <si>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</si>
  <si>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</si>
  <si>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</si>
  <si>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</si>
  <si>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</si>
  <si>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</si>
  <si>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</si>
  <si>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</si>
  <si>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</si>
  <si>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</si>
  <si>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</si>
  <si>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</si>
  <si>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</si>
  <si>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</si>
  <si>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</si>
  <si>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</si>
  <si>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</si>
  <si>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</si>
  <si>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</si>
  <si>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</si>
  <si>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</si>
  <si>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</si>
  <si>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</si>
  <si>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</si>
  <si>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</si>
  <si>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</si>
  <si>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</si>
  <si>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</si>
  <si>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</si>
  <si>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</si>
  <si>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</si>
  <si>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</si>
  <si>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</si>
  <si>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</si>
  <si>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</si>
  <si>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</si>
  <si>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</si>
  <si>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</si>
  <si>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</si>
  <si>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</si>
  <si>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</si>
  <si>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</si>
  <si>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</si>
  <si>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</si>
  <si>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</si>
  <si>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</si>
  <si>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</si>
  <si>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</si>
  <si>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</si>
  <si>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</si>
  <si>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</si>
  <si>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</si>
  <si>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</si>
  <si>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</si>
  <si>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</si>
  <si>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</si>
  <si>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</si>
  <si>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</si>
  <si>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</si>
  <si>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</si>
  <si>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</si>
  <si>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</si>
  <si>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</si>
  <si>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</si>
  <si>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</si>
  <si>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</si>
  <si>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</si>
  <si>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</si>
  <si>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</si>
  <si>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</si>
  <si>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</si>
  <si>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</si>
  <si>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</si>
  <si>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</si>
  <si>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</si>
  <si>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</si>
  <si>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</si>
  <si>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</si>
  <si>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</si>
  <si>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</si>
  <si>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</si>
  <si>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</si>
  <si>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</si>
  <si>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</si>
  <si>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</si>
  <si>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</si>
  <si>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</si>
  <si>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</si>
  <si>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</si>
  <si>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</si>
  <si>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</si>
  <si>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</si>
  <si>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</si>
  <si>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</si>
  <si>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</si>
  <si>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</si>
  <si>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</si>
  <si>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</si>
  <si>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</si>
  <si>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</si>
  <si>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</si>
  <si>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</si>
  <si>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</si>
  <si>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</si>
  <si>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</si>
  <si>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</si>
  <si>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</si>
  <si>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</si>
  <si>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</si>
  <si>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</si>
  <si>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</si>
  <si>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</si>
  <si>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</si>
  <si>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</si>
  <si>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</si>
  <si>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</si>
  <si>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</si>
  <si>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</si>
  <si>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</si>
  <si>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</si>
  <si>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</si>
  <si>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</si>
  <si>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</si>
  <si>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</si>
  <si>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</si>
  <si>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</si>
  <si>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</si>
  <si>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</si>
  <si>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</si>
  <si>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</si>
  <si>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</si>
  <si>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</si>
  <si>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</si>
  <si>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</si>
  <si>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</si>
  <si>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</si>
  <si>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</si>
  <si>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</si>
  <si>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</si>
  <si>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</si>
  <si>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</si>
  <si>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</si>
  <si>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</si>
  <si>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</si>
  <si>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</si>
  <si>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</si>
  <si>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</si>
  <si>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</si>
  <si>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</si>
  <si>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</si>
  <si>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</si>
  <si>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</si>
  <si>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</si>
  <si>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</si>
  <si>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</si>
  <si>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</si>
  <si>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</si>
  <si>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</si>
  <si>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</si>
  <si>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</si>
  <si>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</si>
  <si>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</si>
  <si>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</si>
  <si>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</si>
  <si>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</si>
  <si>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</si>
  <si>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</si>
  <si>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</si>
  <si>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</si>
  <si>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</si>
  <si>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</si>
  <si>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</si>
  <si>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</si>
  <si>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</si>
  <si>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</si>
  <si>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</si>
  <si>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</si>
  <si>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</si>
  <si>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</si>
  <si>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</si>
  <si>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</si>
  <si>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</si>
  <si>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</si>
  <si>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</si>
  <si>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</si>
  <si>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</si>
  <si>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</si>
  <si>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</si>
  <si>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</si>
  <si>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</si>
  <si>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</si>
  <si>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</si>
  <si>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</si>
  <si>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</si>
  <si>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</si>
  <si>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</si>
  <si>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</si>
  <si>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</si>
  <si>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</si>
  <si>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</si>
  <si>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</si>
  <si>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</si>
  <si>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</si>
  <si>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</si>
  <si>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</si>
  <si>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</si>
  <si>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</si>
  <si>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</si>
  <si>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</si>
  <si>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</si>
  <si>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</si>
  <si>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</si>
  <si>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</si>
  <si>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</si>
  <si>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</si>
  <si>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</si>
  <si>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</si>
  <si>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</si>
  <si>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</si>
  <si>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</si>
  <si>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</si>
  <si>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</si>
  <si>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</si>
  <si>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</si>
  <si>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</si>
  <si>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</si>
  <si>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</si>
  <si>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</si>
  <si>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</si>
  <si>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</si>
  <si>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</si>
  <si>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</si>
  <si>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</si>
  <si>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</si>
  <si>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</si>
  <si>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</si>
  <si>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</si>
  <si>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</si>
  <si>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</si>
  <si>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</si>
  <si>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</si>
  <si>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</si>
  <si>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</si>
  <si>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</si>
  <si>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</si>
  <si>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</si>
  <si>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</si>
  <si>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</si>
  <si>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</si>
  <si>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</si>
  <si>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</si>
  <si>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</si>
  <si>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</si>
  <si>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</si>
  <si>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</si>
  <si>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</si>
  <si>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</si>
  <si>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</si>
  <si>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</si>
  <si>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</si>
  <si>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</si>
  <si>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</si>
  <si>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</si>
  <si>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</si>
  <si>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</si>
  <si>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</si>
  <si>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</si>
  <si>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</si>
  <si>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</si>
  <si>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</si>
  <si>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</si>
  <si>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</si>
  <si>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</si>
  <si>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</si>
  <si>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</si>
  <si>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</si>
  <si>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</si>
  <si>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</si>
  <si>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</si>
  <si>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</si>
  <si>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</si>
  <si>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</si>
  <si>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</si>
  <si>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</si>
  <si>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</si>
  <si>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</si>
  <si>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</si>
  <si>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</si>
  <si>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</si>
  <si>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</si>
  <si>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</si>
  <si>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</si>
  <si>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</si>
  <si>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</si>
  <si>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</si>
  <si>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</si>
  <si>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</si>
  <si>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</si>
  <si>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</si>
  <si>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</si>
  <si>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</si>
  <si>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</si>
  <si>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</si>
  <si>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</si>
  <si>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</si>
  <si>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</si>
  <si>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</si>
  <si>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</si>
  <si>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</si>
  <si>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</si>
  <si>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</si>
  <si>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</si>
  <si>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</si>
  <si>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</si>
  <si>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</si>
  <si>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</si>
  <si>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</si>
  <si>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</si>
  <si>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</si>
  <si>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</si>
  <si>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</si>
  <si>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</si>
  <si>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</si>
  <si>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</si>
  <si>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</si>
  <si>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</si>
  <si>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</si>
  <si>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</si>
  <si>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</si>
  <si>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</si>
  <si>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</si>
  <si>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</si>
  <si>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</si>
  <si>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</si>
  <si>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</si>
  <si>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</si>
  <si>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</si>
  <si>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</si>
  <si>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</si>
  <si>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</si>
  <si>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</si>
  <si>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</si>
  <si>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</si>
  <si>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</si>
  <si>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</si>
  <si>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</si>
  <si>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</si>
  <si>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</si>
  <si>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</si>
  <si>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</si>
  <si>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</si>
  <si>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</si>
  <si>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</si>
  <si>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</si>
  <si>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</si>
  <si>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</si>
  <si>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</si>
  <si>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</si>
  <si>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</si>
  <si>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</si>
  <si>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</si>
  <si>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</si>
  <si>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</si>
  <si>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</si>
  <si>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</si>
  <si>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</si>
  <si>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</si>
  <si>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</si>
  <si>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</si>
  <si>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</si>
  <si>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</si>
  <si>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</si>
  <si>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</si>
  <si>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</si>
  <si>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</si>
  <si>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</si>
  <si>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</si>
  <si>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</si>
  <si>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</si>
  <si>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</si>
  <si>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</si>
  <si>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</si>
  <si>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</si>
  <si>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</si>
  <si>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</si>
  <si>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</si>
  <si>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</si>
  <si>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</si>
  <si>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</si>
  <si>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</si>
  <si>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</si>
  <si>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</si>
  <si>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</si>
  <si>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</si>
  <si>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</si>
  <si>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</si>
  <si>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</si>
  <si>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</si>
  <si>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</si>
  <si>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</si>
  <si>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</si>
  <si>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</si>
  <si>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</si>
  <si>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</si>
  <si>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</si>
  <si>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</si>
  <si>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</si>
  <si>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</si>
  <si>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</si>
  <si>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</si>
  <si>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</si>
  <si>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</si>
  <si>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</si>
  <si>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</si>
  <si>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</si>
  <si>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</si>
  <si>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</si>
  <si>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</si>
  <si>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</si>
  <si>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</si>
  <si>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</si>
  <si>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</si>
  <si>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</si>
  <si>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</si>
  <si>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</si>
  <si>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</si>
  <si>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</si>
  <si>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</si>
  <si>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</si>
  <si>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</si>
  <si>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</si>
  <si>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</si>
  <si>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</si>
  <si>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</si>
  <si>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</si>
  <si>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</si>
  <si>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</si>
  <si>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</si>
  <si>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</si>
  <si>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</si>
  <si>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</si>
  <si>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</si>
  <si>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</si>
  <si>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</si>
  <si>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</si>
  <si>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</si>
  <si>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</si>
  <si>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</si>
  <si>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</si>
  <si>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</si>
  <si>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</si>
  <si>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</si>
  <si>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</si>
  <si>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</si>
  <si>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</si>
  <si>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</si>
  <si>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</si>
  <si>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</si>
  <si>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</si>
  <si>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</si>
  <si>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</si>
  <si>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</si>
  <si>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</si>
  <si>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</si>
  <si>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</si>
  <si>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</si>
  <si>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</si>
  <si>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</si>
  <si>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</si>
  <si>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</si>
  <si>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</si>
  <si>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</si>
  <si>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</si>
  <si>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</si>
  <si>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</si>
  <si>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</si>
  <si>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</si>
  <si>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</si>
  <si>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</si>
  <si>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</si>
  <si>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</si>
  <si>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</si>
  <si>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</si>
  <si>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</si>
  <si>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</si>
  <si>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</si>
  <si>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</si>
  <si>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</si>
  <si>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</si>
  <si>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</si>
  <si>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</si>
  <si>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</si>
  <si>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</si>
  <si>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</si>
  <si>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</si>
  <si>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</si>
  <si>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</si>
  <si>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</si>
  <si>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</si>
  <si>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</si>
  <si>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</si>
  <si>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</si>
  <si>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</si>
  <si>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</si>
  <si>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</si>
  <si>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</si>
  <si>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</si>
  <si>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</si>
  <si>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</si>
  <si>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</si>
  <si>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</si>
  <si>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</si>
  <si>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</si>
  <si>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</si>
  <si>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</si>
  <si>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</si>
  <si>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</si>
  <si>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</si>
  <si>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</si>
  <si>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</si>
  <si>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</si>
  <si>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</si>
  <si>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</si>
  <si>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</si>
  <si>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</si>
  <si>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</si>
  <si>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</si>
  <si>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</si>
  <si>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</si>
  <si>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</si>
  <si>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</si>
  <si>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</si>
  <si>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</si>
  <si>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</si>
  <si>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</si>
  <si>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</si>
  <si>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</si>
  <si>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</si>
  <si>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</si>
  <si>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</si>
  <si>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</si>
  <si>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</si>
  <si>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</si>
  <si>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</si>
  <si>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</si>
  <si>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</si>
  <si>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</si>
  <si>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</si>
  <si>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</si>
  <si>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</si>
  <si>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</si>
  <si>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</si>
  <si>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</si>
  <si>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</si>
  <si>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</si>
  <si>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</si>
  <si>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</si>
  <si>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</si>
  <si>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</si>
  <si>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</si>
  <si>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</si>
  <si>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</si>
  <si>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</si>
  <si>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</si>
  <si>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</si>
  <si>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</si>
  <si>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</si>
  <si>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</si>
  <si>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</si>
  <si>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</si>
  <si>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</si>
  <si>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</si>
  <si>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</si>
  <si>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</si>
  <si>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</si>
  <si>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</si>
  <si>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</si>
  <si>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</si>
  <si>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</si>
  <si>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</si>
  <si>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</si>
  <si>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</si>
  <si>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</si>
  <si>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</si>
  <si>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</si>
  <si>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</si>
  <si>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</si>
  <si>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</si>
  <si>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</si>
  <si>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</si>
  <si>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</si>
  <si>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</si>
  <si>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</si>
  <si>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</si>
  <si>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</si>
  <si>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</si>
  <si>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</si>
  <si>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</si>
  <si>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</si>
  <si>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</si>
  <si>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</si>
  <si>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</si>
  <si>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</si>
  <si>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</si>
  <si>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</si>
  <si>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</si>
  <si>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</si>
  <si>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</si>
  <si>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</si>
  <si>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</si>
  <si>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</si>
  <si>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</si>
  <si>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</si>
  <si>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</si>
  <si>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</si>
  <si>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</si>
  <si>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</si>
  <si>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</si>
  <si>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</si>
  <si>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</si>
  <si>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</si>
  <si>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</si>
  <si>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</si>
  <si>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</si>
  <si>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</si>
  <si>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</si>
  <si>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</si>
  <si>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</si>
  <si>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</si>
  <si>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</si>
  <si>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</si>
  <si>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</si>
  <si>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</si>
  <si>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</si>
  <si>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</si>
  <si>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</si>
  <si>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</si>
  <si>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</si>
  <si>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</si>
  <si>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</si>
  <si>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</si>
  <si>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</si>
  <si>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</si>
  <si>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</si>
  <si>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</si>
  <si>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</si>
  <si>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</si>
  <si>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</si>
  <si>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</si>
  <si>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</si>
  <si>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</si>
  <si>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</si>
  <si>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</si>
  <si>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</si>
  <si>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</si>
  <si>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</si>
  <si>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</si>
  <si>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</si>
  <si>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</si>
  <si>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</si>
  <si>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</si>
  <si>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</si>
  <si>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</si>
  <si>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</si>
  <si>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</si>
  <si>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</si>
  <si>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</si>
  <si>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</si>
  <si>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</si>
  <si>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</si>
  <si>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</si>
  <si>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</si>
  <si>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</si>
  <si>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</si>
  <si>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</si>
  <si>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</si>
  <si>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</si>
  <si>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</si>
  <si>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</si>
  <si>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</si>
  <si>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</si>
  <si>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</si>
  <si>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</si>
  <si>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</si>
  <si>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</si>
  <si>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</si>
  <si>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</si>
  <si>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</si>
  <si>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</si>
  <si>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</si>
  <si>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</si>
  <si>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</si>
  <si>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</si>
  <si>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</si>
  <si>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</si>
  <si>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</si>
  <si>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</si>
  <si>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</si>
  <si>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</si>
  <si>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</si>
  <si>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</si>
  <si>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</si>
  <si>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</si>
  <si>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</si>
  <si>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</si>
  <si>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</si>
  <si>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</si>
  <si>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</si>
  <si>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</si>
  <si>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</si>
  <si>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</si>
  <si>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</si>
  <si>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</si>
  <si>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</si>
  <si>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</si>
  <si>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</si>
  <si>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</si>
  <si>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</si>
  <si>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</si>
  <si>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</si>
  <si>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</si>
  <si>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</si>
  <si>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</si>
  <si>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</si>
  <si>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</si>
  <si>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</si>
  <si>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</si>
  <si>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</si>
  <si>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</si>
  <si>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</si>
  <si>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</si>
  <si>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</si>
  <si>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</si>
  <si>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</si>
  <si>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</si>
  <si>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</si>
  <si>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</si>
  <si>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</si>
  <si>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</si>
  <si>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</si>
  <si>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</si>
  <si>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</si>
  <si>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</si>
  <si>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</si>
  <si>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</si>
  <si>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</si>
  <si>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</si>
  <si>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</si>
  <si>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</si>
  <si>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</si>
  <si>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</si>
  <si>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</si>
  <si>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</si>
  <si>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</si>
  <si>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</si>
  <si>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</si>
  <si>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</si>
  <si>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</si>
  <si>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</si>
  <si>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</si>
  <si>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</si>
  <si>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</si>
  <si>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</si>
  <si>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</si>
  <si>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</si>
  <si>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</si>
  <si>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</si>
  <si>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</si>
  <si>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</si>
  <si>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</si>
  <si>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</si>
  <si>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</si>
  <si>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</si>
  <si>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</si>
  <si>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</si>
  <si>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</si>
  <si>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</si>
  <si>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</si>
  <si>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</si>
  <si>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</si>
  <si>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</si>
  <si>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</si>
  <si>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</si>
  <si>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</si>
  <si>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</si>
  <si>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</si>
  <si>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</si>
  <si>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</si>
  <si>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</si>
  <si>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</si>
  <si>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</si>
  <si>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</si>
  <si>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</si>
  <si>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</si>
  <si>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</si>
  <si>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</si>
  <si>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</si>
  <si>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</si>
  <si>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</si>
  <si>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</si>
  <si>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</si>
  <si>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</si>
  <si>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</si>
  <si>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</si>
  <si>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</si>
  <si>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</si>
  <si>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</si>
  <si>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</si>
  <si>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</si>
  <si>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</si>
  <si>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</si>
  <si>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</si>
  <si>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</si>
  <si>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</si>
  <si>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</si>
  <si>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</si>
  <si>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</si>
  <si>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</si>
  <si>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</si>
  <si>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</si>
  <si>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</si>
  <si>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</si>
  <si>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</si>
  <si>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</si>
  <si>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</si>
  <si>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</si>
  <si>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</si>
  <si>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</si>
  <si>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</si>
  <si>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</si>
  <si>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</si>
  <si>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</si>
  <si>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</si>
  <si>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</si>
  <si>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</si>
  <si>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</si>
  <si>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</si>
  <si>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</si>
  <si>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</si>
  <si>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</si>
  <si>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</si>
  <si>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</si>
  <si>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</si>
  <si>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</si>
  <si>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</si>
  <si>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</si>
  <si>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</si>
  <si>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</si>
  <si>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</si>
  <si>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</si>
  <si>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</si>
  <si>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</si>
  <si>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</si>
  <si>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</si>
  <si>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</si>
  <si>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</si>
  <si>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</si>
  <si>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</si>
  <si>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</si>
  <si>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</si>
  <si>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</si>
  <si>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</si>
  <si>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</si>
  <si>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</si>
  <si>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</si>
  <si>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</si>
  <si>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</si>
  <si>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</si>
  <si>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</si>
  <si>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</si>
  <si>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</si>
  <si>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</si>
  <si>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</si>
  <si>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</si>
  <si>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</si>
  <si>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</si>
  <si>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</si>
  <si>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</si>
  <si>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</si>
  <si>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</si>
  <si>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</si>
  <si>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</si>
  <si>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</si>
  <si>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</si>
  <si>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</si>
  <si>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</si>
  <si>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</si>
  <si>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</si>
  <si>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</si>
  <si>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</si>
  <si>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</si>
  <si>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</si>
  <si>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</si>
  <si>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</si>
  <si>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</si>
  <si>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</si>
  <si>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</si>
  <si>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</si>
  <si>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</si>
  <si>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</si>
  <si>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</si>
  <si>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</si>
  <si>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</si>
  <si>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</si>
  <si>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</si>
  <si>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</si>
  <si>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</si>
  <si>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</si>
  <si>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</si>
  <si>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</si>
  <si>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</si>
  <si>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</si>
  <si>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</si>
  <si>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</si>
  <si>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</si>
  <si>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</si>
  <si>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</si>
  <si>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</si>
  <si>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</si>
  <si>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</si>
  <si>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</si>
  <si>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</si>
  <si>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</si>
  <si>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</si>
  <si>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</si>
  <si>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</si>
  <si>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</si>
  <si>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</si>
  <si>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</si>
  <si>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</si>
  <si>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</si>
  <si>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</si>
  <si>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</si>
  <si>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</si>
  <si>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</si>
  <si>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</si>
  <si>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</si>
  <si>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</si>
  <si>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</si>
  <si>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</si>
  <si>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</si>
  <si>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</si>
  <si>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</si>
  <si>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</si>
  <si>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</si>
  <si>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</si>
  <si>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</si>
  <si>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</si>
  <si>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</si>
  <si>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</si>
  <si>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</si>
  <si>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</si>
  <si>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</si>
  <si>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</si>
  <si>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</si>
  <si>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</si>
  <si>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</si>
  <si>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</si>
  <si>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</si>
  <si>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</si>
  <si>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</si>
  <si>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</si>
  <si>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</si>
  <si>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</si>
  <si>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</si>
  <si>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</si>
  <si>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</si>
  <si>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</si>
  <si>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</si>
  <si>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</si>
  <si>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</si>
  <si>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</si>
  <si>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</si>
  <si>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</si>
  <si>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</si>
  <si>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</si>
  <si>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</si>
  <si>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</si>
  <si>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</si>
  <si>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</si>
  <si>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</si>
  <si>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</si>
  <si>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</si>
  <si>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</si>
  <si>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</si>
  <si>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</si>
  <si>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</si>
  <si>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</si>
  <si>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</si>
  <si>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</si>
  <si>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</si>
  <si>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</si>
  <si>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</si>
  <si>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</si>
  <si>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</si>
  <si>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</si>
  <si>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</si>
  <si>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</si>
  <si>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</si>
  <si>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</si>
  <si>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</si>
  <si>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</si>
  <si>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</si>
  <si>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</si>
  <si>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</si>
  <si>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</si>
  <si>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</si>
  <si>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</si>
  <si>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</si>
  <si>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</si>
  <si>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</si>
  <si>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</si>
  <si>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</si>
  <si>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</si>
  <si>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</si>
  <si>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</si>
  <si>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</si>
  <si>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</si>
  <si>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</si>
  <si>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</si>
  <si>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</si>
  <si>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</si>
  <si>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</si>
  <si>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</si>
  <si>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</si>
  <si>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</si>
  <si>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</si>
  <si>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</si>
  <si>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</si>
  <si>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</si>
  <si>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</si>
  <si>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</si>
  <si>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</si>
  <si>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</si>
  <si>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</si>
  <si>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</si>
  <si>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</si>
  <si>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</si>
  <si>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</si>
  <si>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</si>
  <si>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</si>
  <si>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</si>
  <si>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</si>
  <si>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</si>
  <si>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</si>
  <si>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</si>
  <si>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</si>
  <si>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</si>
  <si>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</si>
  <si>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</si>
  <si>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</si>
  <si>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</si>
  <si>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</si>
  <si>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</si>
  <si>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</si>
  <si>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</si>
  <si>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</si>
  <si>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</si>
  <si>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</si>
  <si>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</si>
  <si>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</si>
  <si>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</si>
  <si>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</si>
  <si>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</si>
  <si>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</si>
  <si>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</si>
  <si>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</si>
  <si>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</si>
  <si>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</si>
  <si>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</si>
  <si>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</si>
  <si>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</si>
  <si>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</si>
  <si>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</si>
  <si>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</si>
  <si>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</si>
  <si>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</si>
  <si>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</si>
  <si>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</si>
  <si>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</si>
  <si>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</si>
  <si>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</si>
  <si>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</si>
  <si>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</si>
  <si>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</si>
  <si>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</si>
  <si>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</si>
  <si>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</si>
  <si>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</si>
  <si>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</si>
  <si>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</si>
  <si>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</si>
  <si>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</si>
  <si>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</si>
  <si>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</si>
  <si>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</si>
  <si>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</si>
  <si>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</si>
  <si>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</si>
  <si>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</si>
  <si>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</si>
  <si>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</si>
  <si>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</si>
  <si>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</si>
  <si>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</si>
  <si>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</si>
  <si>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</si>
  <si>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</si>
  <si>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</si>
  <si>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</si>
  <si>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</si>
  <si>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</si>
  <si>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</si>
  <si>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</si>
  <si>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</si>
  <si>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</si>
  <si>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</si>
  <si>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</si>
  <si>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</si>
  <si>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</si>
  <si>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</si>
  <si>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</si>
  <si>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</si>
  <si>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</si>
  <si>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</si>
  <si>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</si>
  <si>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</si>
  <si>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</si>
  <si>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</si>
  <si>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</si>
  <si>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</si>
  <si>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</si>
  <si>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</si>
  <si>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</si>
  <si>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</si>
  <si>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</si>
  <si>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</si>
  <si>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</si>
  <si>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</si>
  <si>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</si>
  <si>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</si>
  <si>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</si>
  <si>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</si>
  <si>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</si>
  <si>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</si>
  <si>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</si>
  <si>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</si>
  <si>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</si>
  <si>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</si>
  <si>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</si>
  <si>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</si>
  <si>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</si>
  <si>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</si>
  <si>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</si>
  <si>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</si>
  <si>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</si>
  <si>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</si>
  <si>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</si>
  <si>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</si>
  <si>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</si>
  <si>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</si>
  <si>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</si>
  <si>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</si>
  <si>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</si>
  <si>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</si>
  <si>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</si>
  <si>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</si>
  <si>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</si>
  <si>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</si>
  <si>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</si>
  <si>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</si>
  <si>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</si>
  <si>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</si>
  <si>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</si>
  <si>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</si>
  <si>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</si>
  <si>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</si>
  <si>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</si>
  <si>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</si>
  <si>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</si>
  <si>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</si>
  <si>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</si>
  <si>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</si>
  <si>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</si>
  <si>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</si>
  <si>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</si>
  <si>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</si>
  <si>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</si>
  <si>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</si>
  <si>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</si>
  <si>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</si>
  <si>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</si>
  <si>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</si>
  <si>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</si>
  <si>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</si>
  <si>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</si>
  <si>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</si>
  <si>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</si>
  <si>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</si>
  <si>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</si>
  <si>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</si>
  <si>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</si>
  <si>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</si>
  <si>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</si>
  <si>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</si>
  <si>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</si>
  <si>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</si>
  <si>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</si>
  <si>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</si>
  <si>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</si>
  <si>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</si>
  <si>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</si>
  <si>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</si>
  <si>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</si>
  <si>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</si>
  <si>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</si>
  <si>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</si>
  <si>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</si>
  <si>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</si>
  <si>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</si>
  <si>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</si>
  <si>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</si>
  <si>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</si>
  <si>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</si>
  <si>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</si>
  <si>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</si>
  <si>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</si>
  <si>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</si>
  <si>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</si>
  <si>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</si>
  <si>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</si>
  <si>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</si>
  <si>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</si>
  <si>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</si>
  <si>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</si>
  <si>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</si>
  <si>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</si>
  <si>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</si>
  <si>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</si>
  <si>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</si>
  <si>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</si>
  <si>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</si>
  <si>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</si>
  <si>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</si>
  <si>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</si>
  <si>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</si>
  <si>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</si>
  <si>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</si>
  <si>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</si>
  <si>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</si>
  <si>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</si>
  <si>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</si>
  <si>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</si>
  <si>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</si>
  <si>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</si>
  <si>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</si>
  <si>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</si>
  <si>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</si>
  <si>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</si>
  <si>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</si>
  <si>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</si>
  <si>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</si>
  <si>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</si>
  <si>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</si>
  <si>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</si>
  <si>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</si>
  <si>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</si>
  <si>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</si>
  <si>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</si>
  <si>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</si>
  <si>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</si>
  <si>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</si>
  <si>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</si>
  <si>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</si>
  <si>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</si>
  <si>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</si>
  <si>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</si>
  <si>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</si>
  <si>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</si>
  <si>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</si>
  <si>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</si>
  <si>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</si>
  <si>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</si>
  <si>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</si>
  <si>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</si>
  <si>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</si>
  <si>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</si>
  <si>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</si>
  <si>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</si>
  <si>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</si>
  <si>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</si>
  <si>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</si>
  <si>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</si>
  <si>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</si>
  <si>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</si>
  <si>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</si>
  <si>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</si>
  <si>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</si>
  <si>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</si>
  <si>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</si>
  <si>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</si>
  <si>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</si>
  <si>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</si>
  <si>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</si>
  <si>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</si>
  <si>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</si>
  <si>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</si>
  <si>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</si>
  <si>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</si>
  <si>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</si>
  <si>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</si>
  <si>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</si>
  <si>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</si>
  <si>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</si>
  <si>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</si>
  <si>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</si>
  <si>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</si>
  <si>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</si>
  <si>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</si>
  <si>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</si>
  <si>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</si>
  <si>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</si>
  <si>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</si>
  <si>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</si>
  <si>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</si>
  <si>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</si>
  <si>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</si>
  <si>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</si>
  <si>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</si>
  <si>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</si>
  <si>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</si>
  <si>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</si>
  <si>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</si>
  <si>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</si>
  <si>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</si>
  <si>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</si>
  <si>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</si>
  <si>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</si>
  <si>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</si>
  <si>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</si>
  <si>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</si>
  <si>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</si>
  <si>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</si>
  <si>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</si>
  <si>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</si>
  <si>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</si>
  <si>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</si>
  <si>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</si>
  <si>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</si>
  <si>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</si>
  <si>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</si>
  <si>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</si>
  <si>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</si>
  <si>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</si>
  <si>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</si>
  <si>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</si>
  <si>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</si>
  <si>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</si>
  <si>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</si>
  <si>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</si>
  <si>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</si>
  <si>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</si>
  <si>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</si>
  <si>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</si>
  <si>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</si>
  <si>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</si>
  <si>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</si>
  <si>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</si>
  <si>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</si>
  <si>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</si>
  <si>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</si>
  <si>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</si>
  <si>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</si>
  <si>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</si>
  <si>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</si>
  <si>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</si>
  <si>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</si>
  <si>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</si>
  <si>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</si>
  <si>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</si>
  <si>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</si>
  <si>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</si>
  <si>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</si>
  <si>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</si>
  <si>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</si>
  <si>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</si>
  <si>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</si>
  <si>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</si>
  <si>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</si>
  <si>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</si>
  <si>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</si>
  <si>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</si>
  <si>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</si>
  <si>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</si>
  <si>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</si>
  <si>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</si>
  <si>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</si>
  <si>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</si>
  <si>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</si>
  <si>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</si>
  <si>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</si>
  <si>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</si>
  <si>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</si>
  <si>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</si>
  <si>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</si>
  <si>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</si>
  <si>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</si>
  <si>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</si>
  <si>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</si>
  <si>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</si>
  <si>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</si>
  <si>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</si>
  <si>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</si>
  <si>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</si>
  <si>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</si>
  <si>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</si>
  <si>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</si>
  <si>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</si>
  <si>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</si>
  <si>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</si>
  <si>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</si>
  <si>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</si>
  <si>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</si>
  <si>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</si>
  <si>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</si>
  <si>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</si>
  <si>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</si>
  <si>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</si>
  <si>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</si>
  <si>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</si>
  <si>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</si>
  <si>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</si>
  <si>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</si>
  <si>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</si>
  <si>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</si>
  <si>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</si>
  <si>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</si>
  <si>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</si>
  <si>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</si>
  <si>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</si>
  <si>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</si>
  <si>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</si>
  <si>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</si>
  <si>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</si>
  <si>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</si>
  <si>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</si>
  <si>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</si>
  <si>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</si>
  <si>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</si>
  <si>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</si>
  <si>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</si>
  <si>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</si>
  <si>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</si>
  <si>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</si>
  <si>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</si>
  <si>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</si>
  <si>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</si>
  <si>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</si>
  <si>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</si>
  <si>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</si>
  <si>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</si>
  <si>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</si>
  <si>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</si>
  <si>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</si>
  <si>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</si>
  <si>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</si>
  <si>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</si>
  <si>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</si>
  <si>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</si>
  <si>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</si>
  <si>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</si>
  <si>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</si>
  <si>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</si>
  <si>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</si>
  <si>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</si>
  <si>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</si>
  <si>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</si>
  <si>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</si>
  <si>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</si>
  <si>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</si>
  <si>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</si>
  <si>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</si>
  <si>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</si>
  <si>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</si>
  <si>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</si>
  <si>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</si>
  <si>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</si>
  <si>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</si>
  <si>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</si>
  <si>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</si>
  <si>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</si>
  <si>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</si>
  <si>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</si>
  <si>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</si>
  <si>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</si>
  <si>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</si>
  <si>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</si>
  <si>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</si>
  <si>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</si>
  <si>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</si>
  <si>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</si>
  <si>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</si>
  <si>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</si>
  <si>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</si>
  <si>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</si>
  <si>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</si>
  <si>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</si>
  <si>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</si>
  <si>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</si>
  <si>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</si>
  <si>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</si>
  <si>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</si>
  <si>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</si>
  <si>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</si>
  <si>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</si>
  <si>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</si>
  <si>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</si>
  <si>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</si>
  <si>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</si>
  <si>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</si>
  <si>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</si>
  <si>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</si>
  <si>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</si>
  <si>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</si>
  <si>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</si>
  <si>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</si>
  <si>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</si>
  <si>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</si>
  <si>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</si>
  <si>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</si>
  <si>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</si>
  <si>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</si>
  <si>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</si>
  <si>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</si>
  <si>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</si>
  <si>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</si>
  <si>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</si>
  <si>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</si>
  <si>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</si>
  <si>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</si>
  <si>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</si>
  <si>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</si>
  <si>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</si>
  <si>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</si>
  <si>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</si>
  <si>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</si>
  <si>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</si>
  <si>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</si>
  <si>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</si>
  <si>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</si>
  <si>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</si>
  <si>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</si>
  <si>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</si>
  <si>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</si>
  <si>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</si>
  <si>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</si>
  <si>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</si>
  <si>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</si>
  <si>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</si>
  <si>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</si>
  <si>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</si>
  <si>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</si>
  <si>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</si>
  <si>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</si>
  <si>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</si>
  <si>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</si>
  <si>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</si>
  <si>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</si>
  <si>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</si>
  <si>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</si>
  <si>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</si>
  <si>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</si>
  <si>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</si>
  <si>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</si>
  <si>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</si>
  <si>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</si>
  <si>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</si>
  <si>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</si>
  <si>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</si>
  <si>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</si>
  <si>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</si>
  <si>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</si>
  <si>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</si>
  <si>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</si>
  <si>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</si>
  <si>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</si>
  <si>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</si>
  <si>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</si>
  <si>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</si>
  <si>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</si>
  <si>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</si>
  <si>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</si>
  <si>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</si>
  <si>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</si>
  <si>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</si>
  <si>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</si>
  <si>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</si>
  <si>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</si>
  <si>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</si>
  <si>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</si>
  <si>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</si>
  <si>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</si>
  <si>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</si>
  <si>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</si>
  <si>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</si>
  <si>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</si>
  <si>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</si>
  <si>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</si>
  <si>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</si>
  <si>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</si>
  <si>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</si>
  <si>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</si>
  <si>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</si>
  <si>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</si>
  <si>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</si>
  <si>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</si>
  <si>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</si>
  <si>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</si>
  <si>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</si>
  <si>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</si>
  <si>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</si>
  <si>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</si>
  <si>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</si>
  <si>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</si>
  <si>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</si>
  <si>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</si>
  <si>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</si>
  <si>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</si>
  <si>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</si>
  <si>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</si>
  <si>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</si>
  <si>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</si>
  <si>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</si>
  <si>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</si>
  <si>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</si>
  <si>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</si>
  <si>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</si>
  <si>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</si>
  <si>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</si>
  <si>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</si>
  <si>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</si>
  <si>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</si>
  <si>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</si>
  <si>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</si>
  <si>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</si>
  <si>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</si>
  <si>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</si>
  <si>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</si>
  <si>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</si>
  <si>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</si>
  <si>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</si>
  <si>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</si>
  <si>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</si>
  <si>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</si>
  <si>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</si>
  <si>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</si>
  <si>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</si>
  <si>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</si>
  <si>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</si>
  <si>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</si>
  <si>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</si>
  <si>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</si>
  <si>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</si>
  <si>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</si>
  <si>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</si>
  <si>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</si>
  <si>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</si>
  <si>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</si>
  <si>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</si>
  <si>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</si>
  <si>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</si>
  <si>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</si>
  <si>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</si>
  <si>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</si>
  <si>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</si>
  <si>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</si>
  <si>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</si>
  <si>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</si>
  <si>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</si>
  <si>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</si>
  <si>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</si>
  <si>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</si>
  <si>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</si>
  <si>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</si>
  <si>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</si>
  <si>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</si>
  <si>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</si>
  <si>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</si>
  <si>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</si>
  <si>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</si>
  <si>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</si>
  <si>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</si>
  <si>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</si>
  <si>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</si>
  <si>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</si>
  <si>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</si>
  <si>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</si>
  <si>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</si>
  <si>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</si>
  <si>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</si>
  <si>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</si>
  <si>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</si>
  <si>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</si>
  <si>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</si>
  <si>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</si>
  <si>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</si>
  <si>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</si>
  <si>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</si>
  <si>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</si>
  <si>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</si>
  <si>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</si>
  <si>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</si>
  <si>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</si>
  <si>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</si>
  <si>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</si>
  <si>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</si>
  <si>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</si>
  <si>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</si>
  <si>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</si>
  <si>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</si>
  <si>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</si>
  <si>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</si>
  <si>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</si>
  <si>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</si>
  <si>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</si>
  <si>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</si>
  <si>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</si>
  <si>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</si>
  <si>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</si>
  <si>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</si>
  <si>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</si>
  <si>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</si>
  <si>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</si>
  <si>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</si>
  <si>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</si>
  <si>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</si>
  <si>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</si>
  <si>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</si>
  <si>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</si>
  <si>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</si>
  <si>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</si>
  <si>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</si>
  <si>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</si>
  <si>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</si>
  <si>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</si>
  <si>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</si>
  <si>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</si>
  <si>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</si>
  <si>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</si>
  <si>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</si>
  <si>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</si>
  <si>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</si>
  <si>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</si>
  <si>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</si>
  <si>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</si>
  <si>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</si>
  <si>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</si>
  <si>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</si>
  <si>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</si>
  <si>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</si>
  <si>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</si>
  <si>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</si>
  <si>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</si>
  <si>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</si>
  <si>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</si>
  <si>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</si>
  <si>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</si>
  <si>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</si>
  <si>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</si>
  <si>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</si>
  <si>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</si>
  <si>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</si>
  <si>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</si>
  <si>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</si>
  <si>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</si>
  <si>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</si>
  <si>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</si>
  <si>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</si>
  <si>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</si>
  <si>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</si>
  <si>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</si>
  <si>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</si>
  <si>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</si>
  <si>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</si>
  <si>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</si>
  <si>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</si>
  <si>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</si>
  <si>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</si>
  <si>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</si>
  <si>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</si>
  <si>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</si>
  <si>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</si>
  <si>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</si>
  <si>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</si>
  <si>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</si>
  <si>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</si>
  <si>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</si>
  <si>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</si>
  <si>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</si>
  <si>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</si>
  <si>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</si>
  <si>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</si>
  <si>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</si>
  <si>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</si>
  <si>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</si>
  <si>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</si>
  <si>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</si>
  <si>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</si>
  <si>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</si>
  <si>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</si>
  <si>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</si>
  <si>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</si>
  <si>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</si>
  <si>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</si>
  <si>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</si>
  <si>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</si>
  <si>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</si>
  <si>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</si>
  <si>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</si>
  <si>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</si>
  <si>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</si>
  <si>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</si>
  <si>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</si>
  <si>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</si>
  <si>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</si>
  <si>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</si>
  <si>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</si>
  <si>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</si>
  <si>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</si>
  <si>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</si>
  <si>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</si>
  <si>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</si>
  <si>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</si>
  <si>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</si>
  <si>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</si>
  <si>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</si>
  <si>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</si>
  <si>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</si>
  <si>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</si>
  <si>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</si>
  <si>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</si>
  <si>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</si>
  <si>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</si>
  <si>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</si>
  <si>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</si>
  <si>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</si>
  <si>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</si>
  <si>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</si>
  <si>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</si>
  <si>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</si>
  <si>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</si>
  <si>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</si>
  <si>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</si>
  <si>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</si>
  <si>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</si>
  <si>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</si>
  <si>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</si>
  <si>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</si>
  <si>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</si>
  <si>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</si>
  <si>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</si>
  <si>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</si>
  <si>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</si>
  <si>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</si>
  <si>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</si>
  <si>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</si>
  <si>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</si>
  <si>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</si>
  <si>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</si>
  <si>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</si>
  <si>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</si>
  <si>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</si>
  <si>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</si>
  <si>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</si>
  <si>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</si>
  <si>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</si>
  <si>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</si>
  <si>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</si>
  <si>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</si>
  <si>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</si>
  <si>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</si>
  <si>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</si>
  <si>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</si>
  <si>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</si>
  <si>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</si>
  <si>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</si>
  <si>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</si>
  <si>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</si>
  <si>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</si>
  <si>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</si>
  <si>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</si>
  <si>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</si>
  <si>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</si>
  <si>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</si>
  <si>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</si>
  <si>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</si>
  <si>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</si>
  <si>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</si>
  <si>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</si>
  <si>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</si>
  <si>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</si>
  <si>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</si>
  <si>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</si>
  <si>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</si>
  <si>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</si>
  <si>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</si>
  <si>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</si>
  <si>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</si>
  <si>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</si>
  <si>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</si>
  <si>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</si>
  <si>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</si>
  <si>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</si>
  <si>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</si>
  <si>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</si>
  <si>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</si>
  <si>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</si>
  <si>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</si>
  <si>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</si>
  <si>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</si>
  <si>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</si>
  <si>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</si>
  <si>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</si>
  <si>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</si>
  <si>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</si>
  <si>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</si>
  <si>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</si>
  <si>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</si>
  <si>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</si>
  <si>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</si>
  <si>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</si>
  <si>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</si>
  <si>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</si>
  <si>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</si>
  <si>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</si>
  <si>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</si>
  <si>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</si>
  <si>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</si>
  <si>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</si>
  <si>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</si>
  <si>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</si>
  <si>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</si>
  <si>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</si>
  <si>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</si>
  <si>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</si>
  <si>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</si>
  <si>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</si>
  <si>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</si>
  <si>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</si>
  <si>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</si>
  <si>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</si>
  <si>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</si>
  <si>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</si>
  <si>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</si>
  <si>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</si>
  <si>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</si>
  <si>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</si>
  <si>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</si>
  <si>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</si>
  <si>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</si>
  <si>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</si>
  <si>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</si>
  <si>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</si>
  <si>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</si>
  <si>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</si>
  <si>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</si>
  <si>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</si>
  <si>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</si>
  <si>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</si>
  <si>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</si>
  <si>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</si>
  <si>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</si>
  <si>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</si>
  <si>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</si>
  <si>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</si>
  <si>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</si>
  <si>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</si>
  <si>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</si>
  <si>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</si>
  <si>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</si>
  <si>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</si>
  <si>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</si>
  <si>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</si>
  <si>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</si>
  <si>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</si>
  <si>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</si>
  <si>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</si>
  <si>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</si>
  <si>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</si>
  <si>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</si>
  <si>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</si>
  <si>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</si>
  <si>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</si>
  <si>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</si>
  <si>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</si>
  <si>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</si>
  <si>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</si>
  <si>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</si>
  <si>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</si>
  <si>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</si>
  <si>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</si>
  <si>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</si>
  <si>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</si>
  <si>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</si>
  <si>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</si>
  <si>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</si>
  <si>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</si>
  <si>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</si>
  <si>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</si>
  <si>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</si>
  <si>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</si>
  <si>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</si>
  <si>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</si>
  <si>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</si>
  <si>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</si>
  <si>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</si>
  <si>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</si>
  <si>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</si>
  <si>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</si>
  <si>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</si>
  <si>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</si>
  <si>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</si>
  <si>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</si>
  <si>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</si>
  <si>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</si>
  <si>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</si>
  <si>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</si>
  <si>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</si>
  <si>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</si>
  <si>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</si>
  <si>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</si>
  <si>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</si>
  <si>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</si>
  <si>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</si>
  <si>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</si>
  <si>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</si>
  <si>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</si>
  <si>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</si>
  <si>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</si>
  <si>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</si>
  <si>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</si>
  <si>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</si>
  <si>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</si>
  <si>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</si>
  <si>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</si>
  <si>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</si>
  <si>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</si>
  <si>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</si>
  <si>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</si>
  <si>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</si>
  <si>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</si>
  <si>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</si>
  <si>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</si>
  <si>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</si>
  <si>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</si>
  <si>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</si>
  <si>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</si>
  <si>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</si>
  <si>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</si>
  <si>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</si>
  <si>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</si>
  <si>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</si>
  <si>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</si>
  <si>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</si>
  <si>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</si>
  <si>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</si>
  <si>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</si>
  <si>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</si>
  <si>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</si>
  <si>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</si>
  <si>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</si>
  <si>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</si>
  <si>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</si>
  <si>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</si>
  <si>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</si>
  <si>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</si>
  <si>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</si>
  <si>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</si>
  <si>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</si>
  <si>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</si>
  <si>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</si>
  <si>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</si>
  <si>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</si>
  <si>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</si>
  <si>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</si>
  <si>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</si>
  <si>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</si>
  <si>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</si>
  <si>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</si>
  <si>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</si>
  <si>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</si>
  <si>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</si>
  <si>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</si>
  <si>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</si>
  <si>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</si>
  <si>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</si>
  <si>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</si>
  <si>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</si>
  <si>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</si>
  <si>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</si>
  <si>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</si>
  <si>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</si>
  <si>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</si>
  <si>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</si>
  <si>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</si>
  <si>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</si>
  <si>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</si>
  <si>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</si>
  <si>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</si>
  <si>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</si>
  <si>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</si>
  <si>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</si>
  <si>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</si>
  <si>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</si>
  <si>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</si>
  <si>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</si>
  <si>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</si>
  <si>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</si>
  <si>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</si>
  <si>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</si>
  <si>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</si>
  <si>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</si>
  <si>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</si>
  <si>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</si>
  <si>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</si>
  <si>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</si>
  <si>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</si>
  <si>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</si>
  <si>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</si>
  <si>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</si>
  <si>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</si>
  <si>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</si>
  <si>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</si>
  <si>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</si>
  <si>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</si>
  <si>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</si>
  <si>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</si>
  <si>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</si>
  <si>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</si>
  <si>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</si>
  <si>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</si>
  <si>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</si>
  <si>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</si>
  <si>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</si>
  <si>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</si>
  <si>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</si>
  <si>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</si>
  <si>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</si>
  <si>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</si>
  <si>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</si>
  <si>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</si>
  <si>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</si>
  <si>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</si>
  <si>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</si>
  <si>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</si>
  <si>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</si>
  <si>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</si>
  <si>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</si>
  <si>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</si>
  <si>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</si>
  <si>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</si>
  <si>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</si>
  <si>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</si>
  <si>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</si>
  <si>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</si>
  <si>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</si>
  <si>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</si>
  <si>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</si>
  <si>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</si>
  <si>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</si>
  <si>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</si>
  <si>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</si>
  <si>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</si>
  <si>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</si>
  <si>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</si>
  <si>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</si>
  <si>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</si>
  <si>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</si>
  <si>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</si>
  <si>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</si>
  <si>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</si>
  <si>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</si>
  <si>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</si>
  <si>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</si>
  <si>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</si>
  <si>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</si>
  <si>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</si>
  <si>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</si>
  <si>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</si>
  <si>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</si>
  <si>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</si>
  <si>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</si>
  <si>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</si>
  <si>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</si>
  <si>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</si>
  <si>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</si>
  <si>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</si>
  <si>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</si>
  <si>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</si>
  <si>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</si>
  <si>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</si>
  <si>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</si>
  <si>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</si>
  <si>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</si>
  <si>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</si>
  <si>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</si>
  <si>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</si>
  <si>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</si>
  <si>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</si>
  <si>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</si>
  <si>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</si>
  <si>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</si>
  <si>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</si>
  <si>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</si>
  <si>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</si>
  <si>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</si>
  <si>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</si>
  <si>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</si>
  <si>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</si>
  <si>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</si>
  <si>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</si>
  <si>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</si>
  <si>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</si>
  <si>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</si>
  <si>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</si>
  <si>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</si>
  <si>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</si>
  <si>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</si>
  <si>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</si>
  <si>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</si>
  <si>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</si>
  <si>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</si>
  <si>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</si>
  <si>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</si>
  <si>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</si>
  <si>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</si>
  <si>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</si>
  <si>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</si>
  <si>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</si>
  <si>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</si>
  <si>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</si>
  <si>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</si>
  <si>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</si>
  <si>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</si>
  <si>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</si>
  <si>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</si>
  <si>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</si>
  <si>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</si>
  <si>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</si>
  <si>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</si>
  <si>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</si>
  <si>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</si>
  <si>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</si>
  <si>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</si>
  <si>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</si>
  <si>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</si>
  <si>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</si>
  <si>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</si>
  <si>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</si>
  <si>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</si>
  <si>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</si>
  <si>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</si>
  <si>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</si>
  <si>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</si>
  <si>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</si>
  <si>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</si>
  <si>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</si>
  <si>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</si>
  <si>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</si>
  <si>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</si>
  <si>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</si>
  <si>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</si>
  <si>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</si>
  <si>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</si>
  <si>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</si>
  <si>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</si>
  <si>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</si>
  <si>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</si>
  <si>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</si>
  <si>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</si>
  <si>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</si>
  <si>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</si>
  <si>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</si>
  <si>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</si>
  <si>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</si>
  <si>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</si>
  <si>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</si>
  <si>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</si>
  <si>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</si>
  <si>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</si>
  <si>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</si>
  <si>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</si>
  <si>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</si>
  <si>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</si>
  <si>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</si>
  <si>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</si>
  <si>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</si>
  <si>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</si>
  <si>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</si>
  <si>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</si>
  <si>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</si>
  <si>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</si>
  <si>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</si>
  <si>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</si>
  <si>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</si>
  <si>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</si>
  <si>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</si>
  <si>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</si>
  <si>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</si>
  <si>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</si>
  <si>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</si>
  <si>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</si>
  <si>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</si>
  <si>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</si>
  <si>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</si>
  <si>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</si>
  <si>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</si>
  <si>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</si>
  <si>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</si>
  <si>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</si>
  <si>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</si>
  <si>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</si>
  <si>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</si>
  <si>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</si>
  <si>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</si>
  <si>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</si>
  <si>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</si>
  <si>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</si>
  <si>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</si>
  <si>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</si>
  <si>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</si>
  <si>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</si>
  <si>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</si>
  <si>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</si>
  <si>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</si>
  <si>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</si>
  <si>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</si>
  <si>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</si>
  <si>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</si>
  <si>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</si>
  <si>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</si>
  <si>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</si>
  <si>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</si>
  <si>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</si>
  <si>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</si>
  <si>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</si>
  <si>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</si>
  <si>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</si>
  <si>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</si>
  <si>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</si>
  <si>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</si>
  <si>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</si>
  <si>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</si>
  <si>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</si>
  <si>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</si>
  <si>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</si>
  <si>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</si>
  <si>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</si>
  <si>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</si>
  <si>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</si>
  <si>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</si>
  <si>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</si>
  <si>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</si>
  <si>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</si>
  <si>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</si>
  <si>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</si>
  <si>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</si>
  <si>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</si>
  <si>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</si>
  <si>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</si>
  <si>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</si>
  <si>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</si>
  <si>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</si>
  <si>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</si>
  <si>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</si>
  <si>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</si>
  <si>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</si>
  <si>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</si>
  <si>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</si>
  <si>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</si>
  <si>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</si>
  <si>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</si>
  <si>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</si>
  <si>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</si>
  <si>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</si>
  <si>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</si>
  <si>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</si>
  <si>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</si>
  <si>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</si>
  <si>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</si>
  <si>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</si>
  <si>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</si>
  <si>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</si>
  <si>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</si>
  <si>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</si>
  <si>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</si>
  <si>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</si>
  <si>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</si>
  <si>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</si>
  <si>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</si>
  <si>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</si>
  <si>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</si>
  <si>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</si>
  <si>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</si>
  <si>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</si>
  <si>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</si>
  <si>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</si>
  <si>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</si>
  <si>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</si>
  <si>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</si>
  <si>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</si>
  <si>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</si>
  <si>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</si>
  <si>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</si>
  <si>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</si>
  <si>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</si>
  <si>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</si>
  <si>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</si>
  <si>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</si>
  <si>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</si>
  <si>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</si>
  <si>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</si>
  <si>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</si>
  <si>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</si>
  <si>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</si>
  <si>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</si>
  <si>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</si>
  <si>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</si>
  <si>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</si>
  <si>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</si>
  <si>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</si>
  <si>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</si>
  <si>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</si>
  <si>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</si>
  <si>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</si>
  <si>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</si>
  <si>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</si>
  <si>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</si>
  <si>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</si>
  <si>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</si>
  <si>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</si>
  <si>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</si>
  <si>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</si>
  <si>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</si>
  <si>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</si>
  <si>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</si>
  <si>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</si>
  <si>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</si>
  <si>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</si>
  <si>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</si>
  <si>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</si>
  <si>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</si>
  <si>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</si>
  <si>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</si>
  <si>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</si>
  <si>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</si>
  <si>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</si>
  <si>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</si>
  <si>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</si>
  <si>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</si>
  <si>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</si>
  <si>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</si>
  <si>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</si>
  <si>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</si>
  <si>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</si>
  <si>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</si>
  <si>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</si>
  <si>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</si>
  <si>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</si>
  <si>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</si>
  <si>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</si>
  <si>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</si>
  <si>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</si>
  <si>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</si>
  <si>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</si>
  <si>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</si>
  <si>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</si>
  <si>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</si>
  <si>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</si>
  <si>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</si>
  <si>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</si>
  <si>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</si>
  <si>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</si>
  <si>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</si>
  <si>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</si>
  <si>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</si>
  <si>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</si>
  <si>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</si>
  <si>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</si>
  <si>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</si>
  <si>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</si>
  <si>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</si>
  <si>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</si>
  <si>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</si>
  <si>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</si>
  <si>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</si>
  <si>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</si>
  <si>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</si>
  <si>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</si>
  <si>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</si>
  <si>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</si>
  <si>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</si>
  <si>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</si>
  <si>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</si>
  <si>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</si>
  <si>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</si>
  <si>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</si>
  <si>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</si>
  <si>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</si>
  <si>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</si>
  <si>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</si>
  <si>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</si>
  <si>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</si>
  <si>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</si>
  <si>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</si>
  <si>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</si>
  <si>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</si>
  <si>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</si>
  <si>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</si>
  <si>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</si>
  <si>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</si>
  <si>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</si>
  <si>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</si>
  <si>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</si>
  <si>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</si>
  <si>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</si>
  <si>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</si>
  <si>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</si>
  <si>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</si>
  <si>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</si>
  <si>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</si>
  <si>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</si>
  <si>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</si>
  <si>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</si>
  <si>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</si>
  <si>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</si>
  <si>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</si>
  <si>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</si>
  <si>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</si>
  <si>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</si>
  <si>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</si>
  <si>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</si>
  <si>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</si>
  <si>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</si>
  <si>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</si>
  <si>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</si>
  <si>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</si>
  <si>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</si>
  <si>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</si>
  <si>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</si>
  <si>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</si>
  <si>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</si>
  <si>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</si>
  <si>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</si>
  <si>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</si>
  <si>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</si>
  <si>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</si>
  <si>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</si>
  <si>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</si>
  <si>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</si>
  <si>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</si>
  <si>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</si>
  <si>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</si>
  <si>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</si>
  <si>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</si>
  <si>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</si>
  <si>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</si>
  <si>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</si>
  <si>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</si>
  <si>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</si>
  <si>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</si>
  <si>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</si>
  <si>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</si>
  <si>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</si>
  <si>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</si>
  <si>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</si>
  <si>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</si>
  <si>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</si>
  <si>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</si>
  <si>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</si>
  <si>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</si>
  <si>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</si>
  <si>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</si>
  <si>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</si>
  <si>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</si>
  <si>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</si>
  <si>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</si>
  <si>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</si>
  <si>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</si>
  <si>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</si>
  <si>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</si>
  <si>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</si>
  <si>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</si>
  <si>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</si>
  <si>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</si>
  <si>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</si>
  <si>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</si>
  <si>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</si>
  <si>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</si>
  <si>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</si>
  <si>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</si>
  <si>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</si>
  <si>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</si>
  <si>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</si>
  <si>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</si>
  <si>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</si>
  <si>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</si>
  <si>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</si>
  <si>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</si>
  <si>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</si>
  <si>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</si>
  <si>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</si>
  <si>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</si>
  <si>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</si>
  <si>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</si>
  <si>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</si>
  <si>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</si>
  <si>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</si>
  <si>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</si>
  <si>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</si>
  <si>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</si>
  <si>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</si>
  <si>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</si>
  <si>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</si>
  <si>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</si>
  <si>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</si>
  <si>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</si>
  <si>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</si>
  <si>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</si>
  <si>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</si>
  <si>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</si>
  <si>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</si>
  <si>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</si>
  <si>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</si>
  <si>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</si>
  <si>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</si>
  <si>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</si>
  <si>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</si>
  <si>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</si>
  <si>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</si>
  <si>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</si>
  <si>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</si>
  <si>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</si>
  <si>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</si>
  <si>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</si>
  <si>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</si>
  <si>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</si>
  <si>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</si>
  <si>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</si>
  <si>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</si>
  <si>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</si>
  <si>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</si>
  <si>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</si>
  <si>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</si>
  <si>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</si>
  <si>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</si>
  <si>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</si>
  <si>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</si>
  <si>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</si>
  <si>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</si>
  <si>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</si>
  <si>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</si>
  <si>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</si>
  <si>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</si>
  <si>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</si>
  <si>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</si>
  <si>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</si>
  <si>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</si>
  <si>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</si>
  <si>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</si>
  <si>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</si>
  <si>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</si>
  <si>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</si>
  <si>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</si>
  <si>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</si>
  <si>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</si>
  <si>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</si>
  <si>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</si>
  <si>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</si>
  <si>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</si>
  <si>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</si>
  <si>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</si>
  <si>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</si>
  <si>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</si>
  <si>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</si>
  <si>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</si>
  <si>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</si>
  <si>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</si>
  <si>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</si>
  <si>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</si>
  <si>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</si>
  <si>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</si>
  <si>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</si>
  <si>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</si>
  <si>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</si>
  <si>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</si>
  <si>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</si>
  <si>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</si>
  <si>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</si>
  <si>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</si>
  <si>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</si>
  <si>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</si>
  <si>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</si>
  <si>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</si>
  <si>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</si>
  <si>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</si>
  <si>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</si>
  <si>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</si>
  <si>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</si>
  <si>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</si>
  <si>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</si>
  <si>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</si>
  <si>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</si>
  <si>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</si>
  <si>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</si>
  <si>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</si>
  <si>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</si>
  <si>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</si>
  <si>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</si>
  <si>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</si>
  <si>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</si>
  <si>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</si>
  <si>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</si>
  <si>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</si>
  <si>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</si>
  <si>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</si>
  <si>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</si>
  <si>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</si>
  <si>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</si>
  <si>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</si>
  <si>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</si>
  <si>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</si>
  <si>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</si>
  <si>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</si>
  <si>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</si>
  <si>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</si>
  <si>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</si>
  <si>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</si>
  <si>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</si>
  <si>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</si>
  <si>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</si>
  <si>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</si>
  <si>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</si>
  <si>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</si>
  <si>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</si>
  <si>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</si>
  <si>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</si>
  <si>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</si>
  <si>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</si>
  <si>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</si>
  <si>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</si>
  <si>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</si>
  <si>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</si>
  <si>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</si>
  <si>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</si>
  <si>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</si>
  <si>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</si>
  <si>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</si>
  <si>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</si>
  <si>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</si>
  <si>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</si>
  <si>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</si>
  <si>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</si>
  <si>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</si>
  <si>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</si>
  <si>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</si>
  <si>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</si>
  <si>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</si>
  <si>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</si>
  <si>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</si>
  <si>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</si>
  <si>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</si>
  <si>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</si>
  <si>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</si>
  <si>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</si>
  <si>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</si>
  <si>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</si>
  <si>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</si>
  <si>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</si>
  <si>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</si>
  <si>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</si>
  <si>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</si>
  <si>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</si>
  <si>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</si>
  <si>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</si>
  <si>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</si>
  <si>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</si>
  <si>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</si>
  <si>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</si>
  <si>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</si>
  <si>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</si>
  <si>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</si>
  <si>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</si>
  <si>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</si>
  <si>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</si>
  <si>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</si>
  <si>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</si>
  <si>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</si>
  <si>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</si>
  <si>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</si>
  <si>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</si>
  <si>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</si>
  <si>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</si>
  <si>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</si>
  <si>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</si>
  <si>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</si>
  <si>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</si>
  <si>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</si>
  <si>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</si>
  <si>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</si>
  <si>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</si>
  <si>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</si>
  <si>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</si>
  <si>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</si>
  <si>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</si>
  <si>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</si>
  <si>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</si>
  <si>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</si>
  <si>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</si>
  <si>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</si>
  <si>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</si>
  <si>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</si>
  <si>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</si>
  <si>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</si>
  <si>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</si>
  <si>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</si>
  <si>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</si>
  <si>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</si>
  <si>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</si>
  <si>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</si>
  <si>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</si>
  <si>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</si>
  <si>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</si>
  <si>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</si>
  <si>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</si>
  <si>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</si>
  <si>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</si>
  <si>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</si>
  <si>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</si>
  <si>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</si>
  <si>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</si>
  <si>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</si>
  <si>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</si>
  <si>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</si>
  <si>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</si>
  <si>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</si>
  <si>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</si>
  <si>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</si>
  <si>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</si>
  <si>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</si>
  <si>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</si>
  <si>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</si>
  <si>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</si>
  <si>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</si>
  <si>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</si>
  <si>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</si>
  <si>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</si>
  <si>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</si>
  <si>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</si>
  <si>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</si>
  <si>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</si>
  <si>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</si>
  <si>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</si>
  <si>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</si>
  <si>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</si>
  <si>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</si>
  <si>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</si>
  <si>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</si>
  <si>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</si>
  <si>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</si>
  <si>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</si>
  <si>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</si>
  <si>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</si>
  <si>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</si>
  <si>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</si>
  <si>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</si>
  <si>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</si>
  <si>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</si>
  <si>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</si>
  <si>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</si>
  <si>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</si>
  <si>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</si>
  <si>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</si>
  <si>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</si>
  <si>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</si>
  <si>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</si>
  <si>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</si>
  <si>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</si>
  <si>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</si>
  <si>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</si>
  <si>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</si>
  <si>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</si>
  <si>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</si>
  <si>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</si>
  <si>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</si>
  <si>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</si>
  <si>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</si>
  <si>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</si>
  <si>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</si>
  <si>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</si>
  <si>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</si>
  <si>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</si>
  <si>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</si>
  <si>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</si>
  <si>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</si>
  <si>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</si>
  <si>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</si>
  <si>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</si>
  <si>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</si>
  <si>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</si>
  <si>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</si>
  <si>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</si>
  <si>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</si>
  <si>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</si>
  <si>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</si>
  <si>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</si>
  <si>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</si>
  <si>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</si>
  <si>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</si>
  <si>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</si>
  <si>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</si>
  <si>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</si>
  <si>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</si>
  <si>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</si>
  <si>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</si>
  <si>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</si>
  <si>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</si>
  <si>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</si>
  <si>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</si>
  <si>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</si>
  <si>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</si>
  <si>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</si>
  <si>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</si>
  <si>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</si>
  <si>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</si>
  <si>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</si>
  <si>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</si>
  <si>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</si>
  <si>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</si>
  <si>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</si>
  <si>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</si>
  <si>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</si>
  <si>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</si>
  <si>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</si>
  <si>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</si>
  <si>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</si>
  <si>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</si>
  <si>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</si>
  <si>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</si>
  <si>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</si>
  <si>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</si>
  <si>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</si>
  <si>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</si>
  <si>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</si>
  <si>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</si>
  <si>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</si>
  <si>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</si>
  <si>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</si>
  <si>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</si>
  <si>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</si>
  <si>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</si>
  <si>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</si>
  <si>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</si>
  <si>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</si>
  <si>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</si>
  <si>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</si>
  <si>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</si>
  <si>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</si>
  <si>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</si>
  <si>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</si>
  <si>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</si>
  <si>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</si>
  <si>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</si>
  <si>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</si>
  <si>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</si>
  <si>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</si>
  <si>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</si>
  <si>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</si>
  <si>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</si>
  <si>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</si>
  <si>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</si>
  <si>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</si>
  <si>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</si>
  <si>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</si>
  <si>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</si>
  <si>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</si>
  <si>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</si>
  <si>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</si>
  <si>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</si>
  <si>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</si>
  <si>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</si>
  <si>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</si>
  <si>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</si>
  <si>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</si>
  <si>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</si>
  <si>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</si>
  <si>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</si>
  <si>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</si>
  <si>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</si>
  <si>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</si>
  <si>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</si>
  <si>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</si>
  <si>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</si>
  <si>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</si>
  <si>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</si>
  <si>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</si>
  <si>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</si>
  <si>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</si>
  <si>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</si>
  <si>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</si>
  <si>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</si>
  <si>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</si>
  <si>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</si>
  <si>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</si>
  <si>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</si>
  <si>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</si>
  <si>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</si>
  <si>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</si>
  <si>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</si>
  <si>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</si>
  <si>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</si>
  <si>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</si>
  <si>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</si>
  <si>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</si>
  <si>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</si>
  <si>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</si>
  <si>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</si>
  <si>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</si>
  <si>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</si>
  <si>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</si>
  <si>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</si>
  <si>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</si>
  <si>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</si>
  <si>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</si>
  <si>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</si>
  <si>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</si>
  <si>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</si>
  <si>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</si>
  <si>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</si>
  <si>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</si>
  <si>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</si>
  <si>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</si>
  <si>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</si>
  <si>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</si>
  <si>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</si>
  <si>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</si>
  <si>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</si>
  <si>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</si>
  <si>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</si>
  <si>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</si>
  <si>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</si>
  <si>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</si>
  <si>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</si>
  <si>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</si>
  <si>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</si>
  <si>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</si>
  <si>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</si>
  <si>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</si>
  <si>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</si>
  <si>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</si>
  <si>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</si>
  <si>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</si>
  <si>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</si>
  <si>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</si>
  <si>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</si>
  <si>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</si>
  <si>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</si>
  <si>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</si>
  <si>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</si>
  <si>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</si>
  <si>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</si>
  <si>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</si>
  <si>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</si>
  <si>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</si>
  <si>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</si>
  <si>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</si>
  <si>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</si>
  <si>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</si>
  <si>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</si>
  <si>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</si>
  <si>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</si>
  <si>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</si>
  <si>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</si>
  <si>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</si>
  <si>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</si>
  <si>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</si>
  <si>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</si>
  <si>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</si>
  <si>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</si>
  <si>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</si>
  <si>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</si>
  <si>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</si>
  <si>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</si>
  <si>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</si>
  <si>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</si>
  <si>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</si>
  <si>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</si>
  <si>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</si>
  <si>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</si>
  <si>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</si>
  <si>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</si>
  <si>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</si>
  <si>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</si>
  <si>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</si>
  <si>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</si>
  <si>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</si>
  <si>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</si>
  <si>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</si>
  <si>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</si>
  <si>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</si>
  <si>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</si>
  <si>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</si>
  <si>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</si>
  <si>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</si>
  <si>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</si>
  <si>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</si>
  <si>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</si>
  <si>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</si>
  <si>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</si>
  <si>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</si>
  <si>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</si>
  <si>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</si>
  <si>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</si>
  <si>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</si>
  <si>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</si>
  <si>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</si>
  <si>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</si>
  <si>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</si>
  <si>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</si>
  <si>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</si>
  <si>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</si>
  <si>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</si>
  <si>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</si>
  <si>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</si>
  <si>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</si>
  <si>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</si>
  <si>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</si>
  <si>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</si>
  <si>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</si>
  <si>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</si>
  <si>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</si>
  <si>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</si>
  <si>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</si>
  <si>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</si>
  <si>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</si>
  <si>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</si>
  <si>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</si>
  <si>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</si>
  <si>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</si>
  <si>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</si>
  <si>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</si>
  <si>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</si>
  <si>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</si>
  <si>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</si>
  <si>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</si>
  <si>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</si>
  <si>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</si>
  <si>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</si>
  <si>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</si>
  <si>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</si>
  <si>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</si>
  <si>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</si>
  <si>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</si>
  <si>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</si>
  <si>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</si>
  <si>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</si>
  <si>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</si>
  <si>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</si>
  <si>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</si>
  <si>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</si>
  <si>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</si>
  <si>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</si>
  <si>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</si>
  <si>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</si>
  <si>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</si>
  <si>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</si>
  <si>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</si>
  <si>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</si>
  <si>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</si>
  <si>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</si>
  <si>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</si>
  <si>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</si>
  <si>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</si>
  <si>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</si>
  <si>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</si>
  <si>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</si>
  <si>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</si>
  <si>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</si>
  <si>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</si>
  <si>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</si>
  <si>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</si>
  <si>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</si>
  <si>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</si>
  <si>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</si>
  <si>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</si>
  <si>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</si>
  <si>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</si>
  <si>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</si>
  <si>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</si>
  <si>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</si>
  <si>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</si>
  <si>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</si>
  <si>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</si>
  <si>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</si>
  <si>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</si>
  <si>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</si>
  <si>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</si>
  <si>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</si>
  <si>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</si>
  <si>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</si>
  <si>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</si>
  <si>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</si>
  <si>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</si>
  <si>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</si>
  <si>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</si>
  <si>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</si>
  <si>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</si>
  <si>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</si>
  <si>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</si>
  <si>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</si>
  <si>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</si>
  <si>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</si>
  <si>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</si>
  <si>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</si>
  <si>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</si>
  <si>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</si>
  <si>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</si>
  <si>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</si>
  <si>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</si>
  <si>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</si>
  <si>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</si>
  <si>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</si>
  <si>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</si>
  <si>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</si>
  <si>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</si>
  <si>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</si>
  <si>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</si>
  <si>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</si>
  <si>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</si>
  <si>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</si>
  <si>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</si>
  <si>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</si>
  <si>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</si>
  <si>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</si>
  <si>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</si>
  <si>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</si>
  <si>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</si>
  <si>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</si>
  <si>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</si>
  <si>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</si>
  <si>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</si>
  <si>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</si>
  <si>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</si>
  <si>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</si>
  <si>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</si>
  <si>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</si>
  <si>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</si>
  <si>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</si>
  <si>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</si>
  <si>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</si>
  <si>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</si>
  <si>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</si>
  <si>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</si>
  <si>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</si>
  <si>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</si>
  <si>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</si>
  <si>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</si>
  <si>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</si>
  <si>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</si>
  <si>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</si>
  <si>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</si>
  <si>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</si>
  <si>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</si>
  <si>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</si>
  <si>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</si>
  <si>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</si>
  <si>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</si>
  <si>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</si>
  <si>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</si>
  <si>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</si>
  <si>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</si>
  <si>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</si>
  <si>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</si>
  <si>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</si>
  <si>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</si>
  <si>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</si>
  <si>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</si>
  <si>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</si>
  <si>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</si>
  <si>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</si>
  <si>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</si>
  <si>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</si>
  <si>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</si>
  <si>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</si>
  <si>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</si>
  <si>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</si>
  <si>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</si>
  <si>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</si>
  <si>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</si>
  <si>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</si>
  <si>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</si>
  <si>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</si>
  <si>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</si>
  <si>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</si>
  <si>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</si>
  <si>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</si>
  <si>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</si>
  <si>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</si>
  <si>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</si>
  <si>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</si>
  <si>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</si>
  <si>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</si>
  <si>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</si>
  <si>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</si>
  <si>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</si>
  <si>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</si>
  <si>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</si>
  <si>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</si>
  <si>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</si>
  <si>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</si>
  <si>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</si>
  <si>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</si>
  <si>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</si>
  <si>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</si>
  <si>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</si>
  <si>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</si>
  <si>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</si>
  <si>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</si>
  <si>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</si>
  <si>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</si>
  <si>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</si>
  <si>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</si>
  <si>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</si>
  <si>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</si>
  <si>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</si>
  <si>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</si>
  <si>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</si>
  <si>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</si>
  <si>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</si>
  <si>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</si>
  <si>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</si>
  <si>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</si>
  <si>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</si>
  <si>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</si>
  <si>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</si>
  <si>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</si>
  <si>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</si>
  <si>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</si>
  <si>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</si>
  <si>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</si>
  <si>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</si>
  <si>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</si>
  <si>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</si>
  <si>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</si>
  <si>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</si>
  <si>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</si>
  <si>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</si>
  <si>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</si>
  <si>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</si>
  <si>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</si>
  <si>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</si>
  <si>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</si>
  <si>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</si>
  <si>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</si>
  <si>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</si>
  <si>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</si>
  <si>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</si>
  <si>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</si>
  <si>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</si>
  <si>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</si>
  <si>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</si>
  <si>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</si>
  <si>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</si>
  <si>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</si>
  <si>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</si>
  <si>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</si>
  <si>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</si>
  <si>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</si>
  <si>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</si>
  <si>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</si>
  <si>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</si>
  <si>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</si>
  <si>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</si>
  <si>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</si>
  <si>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</si>
  <si>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</si>
  <si>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</si>
  <si>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</si>
  <si>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</si>
  <si>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</si>
  <si>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</si>
  <si>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</si>
  <si>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</si>
  <si>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</si>
  <si>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</si>
  <si>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</si>
  <si>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</si>
  <si>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</si>
  <si>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</si>
  <si>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</si>
  <si>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</si>
  <si>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</si>
  <si>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</si>
  <si>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</si>
  <si>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</si>
  <si>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</si>
  <si>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</si>
  <si>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</si>
  <si>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</si>
  <si>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</si>
  <si>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</si>
  <si>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</si>
  <si>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</si>
  <si>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</si>
  <si>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</si>
  <si>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</si>
  <si>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</si>
  <si>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</si>
  <si>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</si>
  <si>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</si>
  <si>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</si>
  <si>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</si>
  <si>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</si>
  <si>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</si>
  <si>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</si>
  <si>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</si>
  <si>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</si>
  <si>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</si>
  <si>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</si>
  <si>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</si>
  <si>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</si>
  <si>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</si>
  <si>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</si>
  <si>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</si>
  <si>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</si>
  <si>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</si>
  <si>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</si>
  <si>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</si>
  <si>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</si>
  <si>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</si>
  <si>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</si>
  <si>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</si>
  <si>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</si>
  <si>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</si>
  <si>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</si>
  <si>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</si>
  <si>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</si>
  <si>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</si>
  <si>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</si>
  <si>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</si>
  <si>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</si>
  <si>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</si>
  <si>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</si>
  <si>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</si>
  <si>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</si>
  <si>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</si>
  <si>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</si>
  <si>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</si>
  <si>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</si>
  <si>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</si>
  <si>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</si>
  <si>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</si>
  <si>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</si>
  <si>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</si>
  <si>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</si>
  <si>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</si>
  <si>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</si>
  <si>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</si>
  <si>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</si>
  <si>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</si>
  <si>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</si>
  <si>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</si>
  <si>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</si>
  <si>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</si>
  <si>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</si>
  <si>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</si>
  <si>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</si>
  <si>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</si>
  <si>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</si>
  <si>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</si>
  <si>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</si>
  <si>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</si>
  <si>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</si>
  <si>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</si>
  <si>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</si>
  <si>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</si>
  <si>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</si>
  <si>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</si>
  <si>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</si>
  <si>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</si>
  <si>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</si>
  <si>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</si>
  <si>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</si>
  <si>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</si>
  <si>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</si>
  <si>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</si>
  <si>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</si>
  <si>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</si>
  <si>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</si>
  <si>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</si>
  <si>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</si>
  <si>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</si>
  <si>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</si>
  <si>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</si>
  <si>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</si>
  <si>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</si>
  <si>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</si>
  <si>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</si>
  <si>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</si>
  <si>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</si>
  <si>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</si>
  <si>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</si>
  <si>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</si>
  <si>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</si>
  <si>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</si>
  <si>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</si>
  <si>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</si>
  <si>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</si>
  <si>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</si>
  <si>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</si>
  <si>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</si>
  <si>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</si>
  <si>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</si>
  <si>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</si>
  <si>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</si>
  <si>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</si>
  <si>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</si>
  <si>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</si>
  <si>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</si>
  <si>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</si>
  <si>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</si>
  <si>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</si>
  <si>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</si>
  <si>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</si>
  <si>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</si>
  <si>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</si>
  <si>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</si>
  <si>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</si>
  <si>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</si>
  <si>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</si>
  <si>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</si>
  <si>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</si>
  <si>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</si>
  <si>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</si>
  <si>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</si>
  <si>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</si>
  <si>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</si>
  <si>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</si>
  <si>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</si>
  <si>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</si>
  <si>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</si>
  <si>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</si>
  <si>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</si>
  <si>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</si>
  <si>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</si>
  <si>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</si>
  <si>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</si>
  <si>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</si>
  <si>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</si>
  <si>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</si>
  <si>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</si>
  <si>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</si>
  <si>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</si>
  <si>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</si>
  <si>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</si>
  <si>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</si>
  <si>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</si>
  <si>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</si>
  <si>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</si>
  <si>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</si>
  <si>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</si>
  <si>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</si>
  <si>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</si>
  <si>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</si>
  <si>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</si>
  <si>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</si>
  <si>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</si>
  <si>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</si>
  <si>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</si>
  <si>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</si>
  <si>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</si>
  <si>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</si>
  <si>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</si>
  <si>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</si>
  <si>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</si>
  <si>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</si>
  <si>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</si>
  <si>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</si>
  <si>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</si>
  <si>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</si>
  <si>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</si>
  <si>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</si>
  <si>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</si>
  <si>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</si>
  <si>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</si>
  <si>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</si>
  <si>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</si>
  <si>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</si>
  <si>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</si>
  <si>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</si>
  <si>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</si>
  <si>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</si>
  <si>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</si>
  <si>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</si>
  <si>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</si>
  <si>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</si>
  <si>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</si>
  <si>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</si>
  <si>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</si>
  <si>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</si>
  <si>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</si>
  <si>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</si>
  <si>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</si>
  <si>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</si>
  <si>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</si>
  <si>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</si>
  <si>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</si>
  <si>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</si>
  <si>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</si>
  <si>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</si>
  <si>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</si>
  <si>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</si>
  <si>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</si>
  <si>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</si>
  <si>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</si>
  <si>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</si>
  <si>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</si>
  <si>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</si>
  <si>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</si>
  <si>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</si>
  <si>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</si>
  <si>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</si>
  <si>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</si>
  <si>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</si>
  <si>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</si>
  <si>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</si>
  <si>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</si>
  <si>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</si>
  <si>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</si>
  <si>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</si>
  <si>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</si>
  <si>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</si>
  <si>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</si>
  <si>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</si>
  <si>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</si>
  <si>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</si>
  <si>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</si>
  <si>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</si>
  <si>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</si>
  <si>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</si>
  <si>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</si>
  <si>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</si>
  <si>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</si>
  <si>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</si>
  <si>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</si>
  <si>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</si>
  <si>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</si>
  <si>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</si>
  <si>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</si>
  <si>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</si>
  <si>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</si>
  <si>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</si>
  <si>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</si>
  <si>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</si>
  <si>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</si>
  <si>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</si>
  <si>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</si>
  <si>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</si>
  <si>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</si>
  <si>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</si>
  <si>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</si>
  <si>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</si>
  <si>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</si>
  <si>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</si>
  <si>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</si>
  <si>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</si>
  <si>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</si>
  <si>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</si>
  <si>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</si>
  <si>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</si>
  <si>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</si>
  <si>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</si>
  <si>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</si>
  <si>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</si>
  <si>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</si>
  <si>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</si>
  <si>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</si>
  <si>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</si>
  <si>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</si>
  <si>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</si>
  <si>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</si>
  <si>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</si>
  <si>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</si>
  <si>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</si>
  <si>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</si>
  <si>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</si>
  <si>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</si>
  <si>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</si>
  <si>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</si>
  <si>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</si>
  <si>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</si>
  <si>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</si>
  <si>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</si>
  <si>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</si>
  <si>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</si>
  <si>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</si>
  <si>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</si>
  <si>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</si>
  <si>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</si>
  <si>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</si>
  <si>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</si>
  <si>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</si>
  <si>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</si>
  <si>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</si>
  <si>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</si>
  <si>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</si>
  <si>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</si>
  <si>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</si>
  <si>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</si>
  <si>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</si>
  <si>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</si>
  <si>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</si>
  <si>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</si>
  <si>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</si>
  <si>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</si>
  <si>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</si>
  <si>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</si>
  <si>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</si>
  <si>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</si>
  <si>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</si>
  <si>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</si>
  <si>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</si>
  <si>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</si>
  <si>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</si>
  <si>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</si>
  <si>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</si>
  <si>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</si>
  <si>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</si>
  <si>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</si>
  <si>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</si>
  <si>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</si>
  <si>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</si>
  <si>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</si>
  <si>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</si>
  <si>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</si>
  <si>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</si>
  <si>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</si>
  <si>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</si>
  <si>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</si>
  <si>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</si>
  <si>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</si>
  <si>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</si>
  <si>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</si>
  <si>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</si>
  <si>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</si>
  <si>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</si>
  <si>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</si>
  <si>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</si>
  <si>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</si>
  <si>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</si>
  <si>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</si>
  <si>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</si>
  <si>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</si>
  <si>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</si>
  <si>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</si>
  <si>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</si>
  <si>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</si>
  <si>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</si>
  <si>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</si>
  <si>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</si>
  <si>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</si>
  <si>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</si>
  <si>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</si>
  <si>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</si>
  <si>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</si>
  <si>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</si>
  <si>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</si>
  <si>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</si>
  <si>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</si>
  <si>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</si>
  <si>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</si>
  <si>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</si>
  <si>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</si>
  <si>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</si>
  <si>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</si>
  <si>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</si>
  <si>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</si>
  <si>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</si>
  <si>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</si>
  <si>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</si>
  <si>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</si>
  <si>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</si>
  <si>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</si>
  <si>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</si>
  <si>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</si>
  <si>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</si>
  <si>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</si>
  <si>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</si>
  <si>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</si>
  <si>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</si>
  <si>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</si>
  <si>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</si>
  <si>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</si>
  <si>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</si>
  <si>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</si>
  <si>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</si>
  <si>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</si>
  <si>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</si>
  <si>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</si>
  <si>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</si>
  <si>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</si>
  <si>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</si>
  <si>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</si>
  <si>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</si>
  <si>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</si>
  <si>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</si>
  <si>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</si>
  <si>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</si>
  <si>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</si>
  <si>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</si>
  <si>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</si>
  <si>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</si>
  <si>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</si>
  <si>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</si>
  <si>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</si>
  <si>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</si>
  <si>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</si>
  <si>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</si>
  <si>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</si>
  <si>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</si>
  <si>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</si>
  <si>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</si>
  <si>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</si>
  <si>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</si>
  <si>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</si>
  <si>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</si>
  <si>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</si>
  <si>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</si>
  <si>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</si>
  <si>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</si>
  <si>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</si>
  <si>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</si>
  <si>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</si>
  <si>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</si>
  <si>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</si>
  <si>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</si>
  <si>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</si>
  <si>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</si>
  <si>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</si>
  <si>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</si>
  <si>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</si>
  <si>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</si>
  <si>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</si>
  <si>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</si>
  <si>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</si>
  <si>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</si>
  <si>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</si>
  <si>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</si>
  <si>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</si>
  <si>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</si>
  <si>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</si>
  <si>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</si>
  <si>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</si>
  <si>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</si>
  <si>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</si>
  <si>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</si>
  <si>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</si>
  <si>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</si>
  <si>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</si>
  <si>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</si>
  <si>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</si>
  <si>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</si>
  <si>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</si>
  <si>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</si>
  <si>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</si>
  <si>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</si>
  <si>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</si>
  <si>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</si>
  <si>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</si>
  <si>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</si>
  <si>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</si>
  <si>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</si>
  <si>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</si>
  <si>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</si>
  <si>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</si>
  <si>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</si>
  <si>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</si>
  <si>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</si>
  <si>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</si>
  <si>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</si>
  <si>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</si>
  <si>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</si>
  <si>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</si>
  <si>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</si>
  <si>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</si>
  <si>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</si>
  <si>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</si>
  <si>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</si>
  <si>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</si>
  <si>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</si>
  <si>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</si>
  <si>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</si>
  <si>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</si>
  <si>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</si>
  <si>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</si>
  <si>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</si>
  <si>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</si>
  <si>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</si>
  <si>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</si>
  <si>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</si>
  <si>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</si>
  <si>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</si>
  <si>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</si>
  <si>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</si>
  <si>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</si>
  <si>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</si>
  <si>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</si>
  <si>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</si>
  <si>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</si>
  <si>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</si>
  <si>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</si>
  <si>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</si>
  <si>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</si>
  <si>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</si>
  <si>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</si>
  <si>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</si>
  <si>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</si>
  <si>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</si>
  <si>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</si>
  <si>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</si>
  <si>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</si>
  <si>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</si>
  <si>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</si>
  <si>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</si>
  <si>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</si>
  <si>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</si>
  <si>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</si>
  <si>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</si>
  <si>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</si>
  <si>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</si>
  <si>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</si>
  <si>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</si>
  <si>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</si>
  <si>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</si>
  <si>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</si>
  <si>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</si>
  <si>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</si>
  <si>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</si>
  <si>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</si>
  <si>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</si>
  <si>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</si>
  <si>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</si>
  <si>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</si>
  <si>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</si>
  <si>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</si>
  <si>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</si>
  <si>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</si>
  <si>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</si>
  <si>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</si>
  <si>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</si>
  <si>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</si>
  <si>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</si>
  <si>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</si>
  <si>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</si>
  <si>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</si>
  <si>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</si>
  <si>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</si>
  <si>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</si>
  <si>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</si>
  <si>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</si>
  <si>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</si>
  <si>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</si>
  <si>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</si>
  <si>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</si>
  <si>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</si>
  <si>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</si>
  <si>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</si>
  <si>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</si>
  <si>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</si>
  <si>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</si>
  <si>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</si>
  <si>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</si>
  <si>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</si>
  <si>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</si>
  <si>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</si>
  <si>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</si>
  <si>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</si>
  <si>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</si>
  <si>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</si>
  <si>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</si>
  <si>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</si>
  <si>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</si>
  <si>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</si>
  <si>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</si>
  <si>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</si>
  <si>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</si>
  <si>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</si>
  <si>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</si>
  <si>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</si>
  <si>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</si>
  <si>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</si>
  <si>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</si>
  <si>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</si>
  <si>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</si>
  <si>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</si>
  <si>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</si>
  <si>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</si>
  <si>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</si>
  <si>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</si>
  <si>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</si>
  <si>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</si>
  <si>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</si>
  <si>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</si>
  <si>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</si>
  <si>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</si>
  <si>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</si>
  <si>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</si>
  <si>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</si>
  <si>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</si>
  <si>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</si>
  <si>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</si>
  <si>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</si>
  <si>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</si>
  <si>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</si>
  <si>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</si>
  <si>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</si>
  <si>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</si>
  <si>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</si>
  <si>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</si>
  <si>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</si>
  <si>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</si>
  <si>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</si>
  <si>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</si>
  <si>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</si>
  <si>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</si>
  <si>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</si>
  <si>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</si>
  <si>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</si>
  <si>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</si>
  <si>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</si>
  <si>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</si>
  <si>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</si>
  <si>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</si>
  <si>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</si>
  <si>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</si>
  <si>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</si>
  <si>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</si>
  <si>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</si>
  <si>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</si>
  <si>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</si>
  <si>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</si>
  <si>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</si>
  <si>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</si>
  <si>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</si>
  <si>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</si>
  <si>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</si>
  <si>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</si>
  <si>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</si>
  <si>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</si>
  <si>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</si>
  <si>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</si>
  <si>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</si>
  <si>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</si>
  <si>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</si>
  <si>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</si>
  <si>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</si>
  <si>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</si>
  <si>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</si>
  <si>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</si>
  <si>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</si>
  <si>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</si>
  <si>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</si>
  <si>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</si>
  <si>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</si>
  <si>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</si>
  <si>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</si>
  <si>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</si>
  <si>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</si>
  <si>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</si>
  <si>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</si>
  <si>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</si>
  <si>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</si>
  <si>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</si>
  <si>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</si>
  <si>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</si>
  <si>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</si>
  <si>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</si>
  <si>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</si>
  <si>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</si>
  <si>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</si>
  <si>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</si>
  <si>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</si>
  <si>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</si>
  <si>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</si>
  <si>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</si>
  <si>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</si>
  <si>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</si>
  <si>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</si>
  <si>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</si>
  <si>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</si>
  <si>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</si>
  <si>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</si>
  <si>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</si>
  <si>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</si>
  <si>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</si>
  <si>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</si>
  <si>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</si>
  <si>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</si>
  <si>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</si>
  <si>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</si>
  <si>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</si>
  <si>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</si>
  <si>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</si>
  <si>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</si>
  <si>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</si>
  <si>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</si>
  <si>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</si>
  <si>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</si>
  <si>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</si>
  <si>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</si>
  <si>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</si>
  <si>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</si>
  <si>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</si>
  <si>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</si>
  <si>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</si>
  <si>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</si>
  <si>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</si>
  <si>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</si>
  <si>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</si>
  <si>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</si>
  <si>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</si>
  <si>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</si>
  <si>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</si>
  <si>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</si>
  <si>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</si>
  <si>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</si>
  <si>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</si>
  <si>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</si>
  <si>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</si>
  <si>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</si>
  <si>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</si>
  <si>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</si>
  <si>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</si>
  <si>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</si>
  <si>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</si>
  <si>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</si>
  <si>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</si>
  <si>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</si>
  <si>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</si>
  <si>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</si>
  <si>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</si>
  <si>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</si>
  <si>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</si>
  <si>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</si>
  <si>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</si>
  <si>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</si>
  <si>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</si>
  <si>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</si>
  <si>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</si>
  <si>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</si>
  <si>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</si>
  <si>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</si>
  <si>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</si>
  <si>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</si>
  <si>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</si>
  <si>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</si>
  <si>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</si>
  <si>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</si>
  <si>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</si>
  <si>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</si>
  <si>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</si>
  <si>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</si>
  <si>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</si>
  <si>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</si>
  <si>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</si>
  <si>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</si>
  <si>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</si>
  <si>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</si>
  <si>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</si>
  <si>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</si>
  <si>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</si>
  <si>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</si>
  <si>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</si>
  <si>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</si>
  <si>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</si>
  <si>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</si>
  <si>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</si>
  <si>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</si>
  <si>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</si>
  <si>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</si>
  <si>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</si>
  <si>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</si>
  <si>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</si>
  <si>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</si>
  <si>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</si>
  <si>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</si>
  <si>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</si>
  <si>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</si>
  <si>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</si>
  <si>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</si>
  <si>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</si>
  <si>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</si>
  <si>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</si>
  <si>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</si>
  <si>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</si>
  <si>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</si>
  <si>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</si>
  <si>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</si>
  <si>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</si>
  <si>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</si>
  <si>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</si>
  <si>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</si>
  <si>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</si>
  <si>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</si>
  <si>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</si>
  <si>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</si>
  <si>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</si>
  <si>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</si>
  <si>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</si>
  <si>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</si>
  <si>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</si>
  <si>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</si>
  <si>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</si>
  <si>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</si>
  <si>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</si>
  <si>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</si>
  <si>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</si>
  <si>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</si>
  <si>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</si>
  <si>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</si>
  <si>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</si>
  <si>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</si>
  <si>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</si>
  <si>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</si>
  <si>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</si>
  <si>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</si>
  <si>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</si>
  <si>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</si>
  <si>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</si>
  <si>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</si>
  <si>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</si>
  <si>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</si>
  <si>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</si>
  <si>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</si>
  <si>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</si>
  <si>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</si>
  <si>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</si>
  <si>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</si>
  <si>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</si>
  <si>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</si>
  <si>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</si>
  <si>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</si>
  <si>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</si>
  <si>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</si>
  <si>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</si>
  <si>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</si>
  <si>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</si>
  <si>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</si>
  <si>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</si>
  <si>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</si>
  <si>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</si>
  <si>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</si>
  <si>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</si>
  <si>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</si>
  <si>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</si>
  <si>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</si>
  <si>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</si>
  <si>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</si>
  <si>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</si>
  <si>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</si>
  <si>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</si>
  <si>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</si>
  <si>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</si>
  <si>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</si>
  <si>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</si>
  <si>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</si>
  <si>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</si>
  <si>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</si>
  <si>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</si>
  <si>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</si>
  <si>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</si>
  <si>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</si>
  <si>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</si>
  <si>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</si>
  <si>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</si>
  <si>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</si>
  <si>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</si>
  <si>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</si>
  <si>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</si>
  <si>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</si>
  <si>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</si>
  <si>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</si>
  <si>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</si>
  <si>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</si>
  <si>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</si>
  <si>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</si>
  <si>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</si>
  <si>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</si>
  <si>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</si>
  <si>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</si>
  <si>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</si>
  <si>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</si>
  <si>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</si>
  <si>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</si>
  <si>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</si>
  <si>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</si>
  <si>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</si>
  <si>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</si>
  <si>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</si>
  <si>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</si>
  <si>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</si>
  <si>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</si>
  <si>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</si>
  <si>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</si>
  <si>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</si>
  <si>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</si>
  <si>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</si>
  <si>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</si>
  <si>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</si>
  <si>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</si>
  <si>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</si>
  <si>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</si>
  <si>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</si>
  <si>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</si>
  <si>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</si>
  <si>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</si>
  <si>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</si>
  <si>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</si>
  <si>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</si>
  <si>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</si>
  <si>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</si>
  <si>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</si>
  <si>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</si>
  <si>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</si>
  <si>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</si>
  <si>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</si>
  <si>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</si>
  <si>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</si>
  <si>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</si>
  <si>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</si>
  <si>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</si>
  <si>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</si>
  <si>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</si>
  <si>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</si>
  <si>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</si>
  <si>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</si>
  <si>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</si>
  <si>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</si>
  <si>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</si>
  <si>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</si>
  <si>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</si>
  <si>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</si>
  <si>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</si>
  <si>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</si>
  <si>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</si>
  <si>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</si>
  <si>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</si>
  <si>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</si>
  <si>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</si>
  <si>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</si>
  <si>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</si>
  <si>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</si>
  <si>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</si>
  <si>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</si>
  <si>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</si>
  <si>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</si>
  <si>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</si>
  <si>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</si>
  <si>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</si>
  <si>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</si>
  <si>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</si>
  <si>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</si>
  <si>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</si>
  <si>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</si>
  <si>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</si>
  <si>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</si>
  <si>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</si>
  <si>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</si>
  <si>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</si>
  <si>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</si>
  <si>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</si>
  <si>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</si>
  <si>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</si>
  <si>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</si>
  <si>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</si>
  <si>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</si>
  <si>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</si>
  <si>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</si>
  <si>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</si>
  <si>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</si>
  <si>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</si>
  <si>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</si>
  <si>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</si>
  <si>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</si>
  <si>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</si>
  <si>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</si>
  <si>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</si>
  <si>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</si>
  <si>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</si>
  <si>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</si>
  <si>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</si>
  <si>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</si>
  <si>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</si>
  <si>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</si>
  <si>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</si>
  <si>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</si>
  <si>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</si>
  <si>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</si>
  <si>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</si>
  <si>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</si>
  <si>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</si>
  <si>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</si>
  <si>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</si>
  <si>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</si>
  <si>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</si>
  <si>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</si>
  <si>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</si>
  <si>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</si>
  <si>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</si>
  <si>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</si>
  <si>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</si>
  <si>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</si>
  <si>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</si>
  <si>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</si>
  <si>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</si>
  <si>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</si>
  <si>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</si>
  <si>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</si>
  <si>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</si>
  <si>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</si>
  <si>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</si>
  <si>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</si>
  <si>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</si>
  <si>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</si>
  <si>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</si>
  <si>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</si>
  <si>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</si>
  <si>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</si>
  <si>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</si>
  <si>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</si>
  <si>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</si>
  <si>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</si>
  <si>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</si>
  <si>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</si>
  <si>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</si>
  <si>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</si>
  <si>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</si>
  <si>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</si>
  <si>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</si>
  <si>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</si>
  <si>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</si>
  <si>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</si>
  <si>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</si>
  <si>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</si>
  <si>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</si>
  <si>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</si>
  <si>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</si>
  <si>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</si>
  <si>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</si>
  <si>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</si>
  <si>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</si>
  <si>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</si>
  <si>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</si>
  <si>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</si>
  <si>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</si>
  <si>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</si>
  <si>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</si>
  <si>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</si>
  <si>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</si>
  <si>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</si>
  <si>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</si>
  <si>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</si>
  <si>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</si>
  <si>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</si>
  <si>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</si>
  <si>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</si>
  <si>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</si>
  <si>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</si>
  <si>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</si>
  <si>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</si>
  <si>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</si>
  <si>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</si>
  <si>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</si>
  <si>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</si>
  <si>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</si>
  <si>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</si>
  <si>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</si>
  <si>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</si>
  <si>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</si>
  <si>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</si>
  <si>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</si>
  <si>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</si>
  <si>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</si>
  <si>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</si>
  <si>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</si>
  <si>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</si>
  <si>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</si>
  <si>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</si>
  <si>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</si>
  <si>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</si>
  <si>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</si>
  <si>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</si>
  <si>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</si>
  <si>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</si>
  <si>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</si>
  <si>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</si>
  <si>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</si>
  <si>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</si>
  <si>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</si>
  <si>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</si>
  <si>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</si>
  <si>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</si>
  <si>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</si>
  <si>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</si>
  <si>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</si>
  <si>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</si>
  <si>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</si>
  <si>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</si>
  <si>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</si>
  <si>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</si>
  <si>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</si>
  <si>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</si>
  <si>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</si>
  <si>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</si>
  <si>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</si>
  <si>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</si>
  <si>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</si>
  <si>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</si>
  <si>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</si>
  <si>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</si>
  <si>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</si>
  <si>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</si>
  <si>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</si>
  <si>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</si>
  <si>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</si>
  <si>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</si>
  <si>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</si>
  <si>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</si>
  <si>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</si>
  <si>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</si>
  <si>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</si>
  <si>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</si>
  <si>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</si>
  <si>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</si>
  <si>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</si>
  <si>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</si>
  <si>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</si>
  <si>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</si>
  <si>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</si>
  <si>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</si>
  <si>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</si>
  <si>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</si>
  <si>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</si>
  <si>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</si>
  <si>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</si>
  <si>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</si>
  <si>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</si>
  <si>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</si>
  <si>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</si>
  <si>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</si>
  <si>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</si>
  <si>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</si>
  <si>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</si>
  <si>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</si>
  <si>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</si>
  <si>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</si>
  <si>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</si>
  <si>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</si>
  <si>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</si>
  <si>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</si>
  <si>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</si>
  <si>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</si>
  <si>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</si>
  <si>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</si>
  <si>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</si>
  <si>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</si>
  <si>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</si>
  <si>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</si>
  <si>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</si>
  <si>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</si>
  <si>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</si>
  <si>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</si>
  <si>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</si>
  <si>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</si>
  <si>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</si>
  <si>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</si>
  <si>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</si>
  <si>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</si>
  <si>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</si>
  <si>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</si>
  <si>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</si>
  <si>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</si>
  <si>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</si>
  <si>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</si>
  <si>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</si>
  <si>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</si>
  <si>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</si>
  <si>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</si>
  <si>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</si>
  <si>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</si>
  <si>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</si>
  <si>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</si>
  <si>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</si>
  <si>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</si>
  <si>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</si>
  <si>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</si>
  <si>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</si>
  <si>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</si>
  <si>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</si>
  <si>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</si>
  <si>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</si>
  <si>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</si>
  <si>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</si>
  <si>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</si>
  <si>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</si>
  <si>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</si>
  <si>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</si>
  <si>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</si>
  <si>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</si>
  <si>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</si>
  <si>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</si>
  <si>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</si>
  <si>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</si>
  <si>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</si>
  <si>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</si>
  <si>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</si>
  <si>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</si>
  <si>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</si>
  <si>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</si>
  <si>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</si>
  <si>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</si>
  <si>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</si>
  <si>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</si>
  <si>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</si>
  <si>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</si>
  <si>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</si>
  <si>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</si>
  <si>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</si>
  <si>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</si>
  <si>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</si>
  <si>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</si>
  <si>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</si>
  <si>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</si>
  <si>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</si>
  <si>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</si>
  <si>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</si>
  <si>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</si>
  <si>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</si>
  <si>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</si>
  <si>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</si>
  <si>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</si>
  <si>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</si>
  <si>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</si>
  <si>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</si>
  <si>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</si>
  <si>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</si>
  <si>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</si>
  <si>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</si>
  <si>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</si>
  <si>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</si>
  <si>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</si>
  <si>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</si>
  <si>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</si>
  <si>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</si>
  <si>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</si>
  <si>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</si>
  <si>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</si>
  <si>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</si>
  <si>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</si>
  <si>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</si>
  <si>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</si>
  <si>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</si>
  <si>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</si>
  <si>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</si>
  <si>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</si>
  <si>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</si>
  <si>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</si>
  <si>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</si>
  <si>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</si>
  <si>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</si>
  <si>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</si>
  <si>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</si>
  <si>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</si>
  <si>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</si>
  <si>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</si>
  <si>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</si>
  <si>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</si>
  <si>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</si>
  <si>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</si>
  <si>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</si>
  <si>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</si>
  <si>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</si>
  <si>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</si>
  <si>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</si>
  <si>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</si>
  <si>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</si>
  <si>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</si>
  <si>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</si>
  <si>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</si>
  <si>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</si>
  <si>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</si>
  <si>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</si>
  <si>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</si>
  <si>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</si>
  <si>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</si>
  <si>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</si>
  <si>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</si>
  <si>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</si>
  <si>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</si>
  <si>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</si>
  <si>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</si>
  <si>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</si>
  <si>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</si>
  <si>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</si>
  <si>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</si>
  <si>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</si>
  <si>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</si>
  <si>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</si>
  <si>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</si>
  <si>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</si>
  <si>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</si>
  <si>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</si>
  <si>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</si>
  <si>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</si>
  <si>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</si>
  <si>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</si>
  <si>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</si>
  <si>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</si>
  <si>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</si>
  <si>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</si>
  <si>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</si>
  <si>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</si>
  <si>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</si>
  <si>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</si>
  <si>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</si>
  <si>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</si>
  <si>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</si>
  <si>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</si>
  <si>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</si>
  <si>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</si>
  <si>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</si>
  <si>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</si>
  <si>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</si>
  <si>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</si>
  <si>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</si>
  <si>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</si>
  <si>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</si>
  <si>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</si>
  <si>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</si>
  <si>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</si>
  <si>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</si>
  <si>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</si>
  <si>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</si>
  <si>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</si>
  <si>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</si>
  <si>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</si>
  <si>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</si>
  <si>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</si>
  <si>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</si>
  <si>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</si>
  <si>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</si>
  <si>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</si>
  <si>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</si>
  <si>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</si>
  <si>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</si>
  <si>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</si>
  <si>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</si>
  <si>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</si>
  <si>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</si>
  <si>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</si>
  <si>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</si>
  <si>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</si>
  <si>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</si>
  <si>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</si>
  <si>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</si>
  <si>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</si>
  <si>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</si>
  <si>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</si>
  <si>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</si>
  <si>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</si>
  <si>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</si>
  <si>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</si>
  <si>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</si>
  <si>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</si>
  <si>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</si>
  <si>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</si>
  <si>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</si>
  <si>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</si>
  <si>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</si>
  <si>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</si>
  <si>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</si>
  <si>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</si>
  <si>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</si>
  <si>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</si>
  <si>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</si>
  <si>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</si>
  <si>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</si>
  <si>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</si>
  <si>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</si>
  <si>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</si>
  <si>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</si>
  <si>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</si>
  <si>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</si>
  <si>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</si>
  <si>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</si>
  <si>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</si>
  <si>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</si>
  <si>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</si>
  <si>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</si>
  <si>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</si>
  <si>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</si>
  <si>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</si>
  <si>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</si>
  <si>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</si>
  <si>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</si>
  <si>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</si>
  <si>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</si>
  <si>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</si>
  <si>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</si>
  <si>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</si>
  <si>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</si>
  <si>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</si>
  <si>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</si>
  <si>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</si>
  <si>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</si>
  <si>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</si>
  <si>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</si>
  <si>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</si>
  <si>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</si>
  <si>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</si>
  <si>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</si>
  <si>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</si>
  <si>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</si>
  <si>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</si>
  <si>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</si>
  <si>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</si>
  <si>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</si>
  <si>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</si>
  <si>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</si>
  <si>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</si>
  <si>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</si>
  <si>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</si>
  <si>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</si>
  <si>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</si>
  <si>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</si>
  <si>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</si>
  <si>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</si>
  <si>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</si>
  <si>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</si>
  <si>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</si>
  <si>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</si>
  <si>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</si>
  <si>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</si>
  <si>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</si>
  <si>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</si>
  <si>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</si>
  <si>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</si>
  <si>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</si>
  <si>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</si>
  <si>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</si>
  <si>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</si>
  <si>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</si>
  <si>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</si>
  <si>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</si>
  <si>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</si>
  <si>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</si>
  <si>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</si>
  <si>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</si>
  <si>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</si>
  <si>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</si>
  <si>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</si>
  <si>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</si>
  <si>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</si>
  <si>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</si>
  <si>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</si>
  <si>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</si>
  <si>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</si>
  <si>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</si>
  <si>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</si>
  <si>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</si>
  <si>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</si>
  <si>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</si>
  <si>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</si>
  <si>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</si>
  <si>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</si>
  <si>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</si>
  <si>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</si>
  <si>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</si>
  <si>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</si>
  <si>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</si>
  <si>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</si>
  <si>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</si>
  <si>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</si>
  <si>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</si>
  <si>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</si>
  <si>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</si>
  <si>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</si>
  <si>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</si>
  <si>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</si>
  <si>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</si>
  <si>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</si>
  <si>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</si>
  <si>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</si>
  <si>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</si>
  <si>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</si>
  <si>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</si>
  <si>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</si>
  <si>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</si>
  <si>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</si>
  <si>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</si>
  <si>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</si>
  <si>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</si>
  <si>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</si>
  <si>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</si>
  <si>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</si>
  <si>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</si>
  <si>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</si>
  <si>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</si>
  <si>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</si>
  <si>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</si>
  <si>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</si>
  <si>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</si>
  <si>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</si>
  <si>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</si>
  <si>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</si>
  <si>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</si>
  <si>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</si>
  <si>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</si>
  <si>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</si>
  <si>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</si>
  <si>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</si>
  <si>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</si>
  <si>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</si>
  <si>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</si>
  <si>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</si>
  <si>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</si>
  <si>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</si>
  <si>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</si>
  <si>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</si>
  <si>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</si>
  <si>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</si>
  <si>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</si>
  <si>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</si>
  <si>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</si>
  <si>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</si>
  <si>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</si>
  <si>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</si>
  <si>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</si>
  <si>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</si>
  <si>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</si>
  <si>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</si>
  <si>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</si>
  <si>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</si>
  <si>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</si>
  <si>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</si>
  <si>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</si>
  <si>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</si>
  <si>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</si>
  <si>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</si>
  <si>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</si>
  <si>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</si>
  <si>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</si>
  <si>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</si>
  <si>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</si>
  <si>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</si>
  <si>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</si>
  <si>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</si>
  <si>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</si>
  <si>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</si>
  <si>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</si>
  <si>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</si>
  <si>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</si>
  <si>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</si>
  <si>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</si>
  <si>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</si>
  <si>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</si>
  <si>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</si>
  <si>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</si>
  <si>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</si>
  <si>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</si>
  <si>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</si>
  <si>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</si>
  <si>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</si>
  <si>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</si>
  <si>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</si>
  <si>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</si>
  <si>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</si>
  <si>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</si>
  <si>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</si>
  <si>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</si>
  <si>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</si>
  <si>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</si>
  <si>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</si>
  <si>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</si>
  <si>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</si>
  <si>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</si>
  <si>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</si>
  <si>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</si>
  <si>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</si>
  <si>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</si>
  <si>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</si>
  <si>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</si>
  <si>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</si>
  <si>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</si>
  <si>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</si>
  <si>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</si>
  <si>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</si>
  <si>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</si>
  <si>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</si>
  <si>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</si>
  <si>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</si>
  <si>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</si>
  <si>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</si>
  <si>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</si>
  <si>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</si>
  <si>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</si>
  <si>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</si>
  <si>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</si>
  <si>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</si>
  <si>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</si>
  <si>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</si>
  <si>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</si>
  <si>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</si>
  <si>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</si>
  <si>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</si>
  <si>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</si>
  <si>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</si>
  <si>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</si>
  <si>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</si>
  <si>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</si>
  <si>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</si>
  <si>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</si>
  <si>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</si>
  <si>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</si>
  <si>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</si>
  <si>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</si>
  <si>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</si>
  <si>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</si>
  <si>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</si>
  <si>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</si>
  <si>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</si>
  <si>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</si>
  <si>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</si>
  <si>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</si>
  <si>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</si>
  <si>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</si>
  <si>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</si>
  <si>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</si>
  <si>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</si>
  <si>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</si>
  <si>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</si>
  <si>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</si>
  <si>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</si>
  <si>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</si>
  <si>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</si>
  <si>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</si>
  <si>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</si>
  <si>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</si>
  <si>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</si>
  <si>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</si>
  <si>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</si>
  <si>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</si>
  <si>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</si>
  <si>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</si>
  <si>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</si>
  <si>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</si>
  <si>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</si>
  <si>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</si>
  <si>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</si>
  <si>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</si>
  <si>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</si>
  <si>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</si>
  <si>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</si>
  <si>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</si>
  <si>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</si>
  <si>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</si>
  <si>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</si>
  <si>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</si>
  <si>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</si>
  <si>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</si>
  <si>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</si>
  <si>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</si>
  <si>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</si>
  <si>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</si>
  <si>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</si>
  <si>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</si>
  <si>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</si>
  <si>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</si>
  <si>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</si>
  <si>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</si>
  <si>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</si>
  <si>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</si>
  <si>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</si>
  <si>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</si>
  <si>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</si>
  <si>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</si>
  <si>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</si>
  <si>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</si>
  <si>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</si>
  <si>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</si>
  <si>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</si>
  <si>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</si>
  <si>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</si>
  <si>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</si>
  <si>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</si>
  <si>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</si>
  <si>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</si>
  <si>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</si>
  <si>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</si>
  <si>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</si>
  <si>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</si>
  <si>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</si>
  <si>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</si>
  <si>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</si>
  <si>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</si>
  <si>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</si>
  <si>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</si>
  <si>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</si>
  <si>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</si>
  <si>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</si>
  <si>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</si>
  <si>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</si>
  <si>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</si>
  <si>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</si>
  <si>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</si>
  <si>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</si>
  <si>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</si>
  <si>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</si>
  <si>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</si>
  <si>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</si>
  <si>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</si>
  <si>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</si>
  <si>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</si>
  <si>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</si>
  <si>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</si>
  <si>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</si>
  <si>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</si>
  <si>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</si>
  <si>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</si>
  <si>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</si>
  <si>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</si>
  <si>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</si>
  <si>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</si>
  <si>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</si>
  <si>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</si>
  <si>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</si>
  <si>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</si>
  <si>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</si>
  <si>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</si>
  <si>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</si>
  <si>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</si>
  <si>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</si>
  <si>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</si>
  <si>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</si>
  <si>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</si>
  <si>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</si>
  <si>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</si>
  <si>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</si>
  <si>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</si>
  <si>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</si>
  <si>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</si>
  <si>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</si>
  <si>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</si>
  <si>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</si>
  <si>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</si>
  <si>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</si>
  <si>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</si>
  <si>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</si>
  <si>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</si>
  <si>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</si>
  <si>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</si>
  <si>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</si>
  <si>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</si>
  <si>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</si>
  <si>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</si>
  <si>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</si>
  <si>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</si>
  <si>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</si>
  <si>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</si>
  <si>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</si>
  <si>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</si>
  <si>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</si>
  <si>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</si>
  <si>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</si>
  <si>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</si>
  <si>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</si>
  <si>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</si>
  <si>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</si>
  <si>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</si>
  <si>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</si>
  <si>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</si>
  <si>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</si>
  <si>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</si>
  <si>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</si>
  <si>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</si>
  <si>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</si>
  <si>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</si>
  <si>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</si>
  <si>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</si>
  <si>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</si>
  <si>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</si>
  <si>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</si>
  <si>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</si>
  <si>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</si>
  <si>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</si>
  <si>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</si>
  <si>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</si>
  <si>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</si>
  <si>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</si>
  <si>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</si>
  <si>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</si>
  <si>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</si>
  <si>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</si>
  <si>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</si>
  <si>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</si>
  <si>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</si>
  <si>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</si>
  <si>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</si>
  <si>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</si>
  <si>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</si>
  <si>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</si>
  <si>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</si>
  <si>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</si>
  <si>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</si>
  <si>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</si>
  <si>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</si>
  <si>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</si>
  <si>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</si>
  <si>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</si>
  <si>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</si>
  <si>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</si>
  <si>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</si>
  <si>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</si>
  <si>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</si>
  <si>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</si>
  <si>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</si>
  <si>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</si>
  <si>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</si>
  <si>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</si>
  <si>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</si>
  <si>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</si>
  <si>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</si>
  <si>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</si>
  <si>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</si>
  <si>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</si>
  <si>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</si>
  <si>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</si>
  <si>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</si>
  <si>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</si>
  <si>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</si>
  <si>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</si>
  <si>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</si>
  <si>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</si>
  <si>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</si>
  <si>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</si>
  <si>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</si>
  <si>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</si>
  <si>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</si>
  <si>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</si>
  <si>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</si>
  <si>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</si>
  <si>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</si>
  <si>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</si>
  <si>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</si>
  <si>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</si>
  <si>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</si>
  <si>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</si>
  <si>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</si>
  <si>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</si>
  <si>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</si>
  <si>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</si>
  <si>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</si>
  <si>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</si>
  <si>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</si>
  <si>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</si>
  <si>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</si>
  <si>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</si>
  <si>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</si>
  <si>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</si>
  <si>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</si>
  <si>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</si>
  <si>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</si>
  <si>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</si>
  <si>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</si>
  <si>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</si>
  <si>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</si>
  <si>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</si>
  <si>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</si>
  <si>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</si>
  <si>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</si>
  <si>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</si>
  <si>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</si>
  <si>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</si>
  <si>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</si>
  <si>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</si>
  <si>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</si>
  <si>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</si>
  <si>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</si>
  <si>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</si>
  <si>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</si>
  <si>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</si>
  <si>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</si>
  <si>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</si>
  <si>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</si>
  <si>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</si>
  <si>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</si>
  <si>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</si>
  <si>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</si>
  <si>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</si>
  <si>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</si>
  <si>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</si>
  <si>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</si>
  <si>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</si>
  <si>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</si>
  <si>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</si>
  <si>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</si>
  <si>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</si>
  <si>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</si>
  <si>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</si>
  <si>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</si>
  <si>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</si>
  <si>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</si>
  <si>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</si>
  <si>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</si>
  <si>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</si>
  <si>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</si>
  <si>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</si>
  <si>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</si>
  <si>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</si>
  <si>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</si>
  <si>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</si>
  <si>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</si>
  <si>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</si>
  <si>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</si>
  <si>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</si>
  <si>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</si>
  <si>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</si>
  <si>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</si>
  <si>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</si>
  <si>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</si>
  <si>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</si>
  <si>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</si>
  <si>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</si>
  <si>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</si>
  <si>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</si>
  <si>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</si>
  <si>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</si>
  <si>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</si>
  <si>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</si>
  <si>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</si>
  <si>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</si>
  <si>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</si>
  <si>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</si>
  <si>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</si>
  <si>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</si>
  <si>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</si>
  <si>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</si>
  <si>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</si>
  <si>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</si>
  <si>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</si>
  <si>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</si>
  <si>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</si>
  <si>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</si>
  <si>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</si>
  <si>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</si>
  <si>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</si>
  <si>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</si>
  <si>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</si>
  <si>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</si>
  <si>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</si>
  <si>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</si>
  <si>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</si>
  <si>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</si>
  <si>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</si>
  <si>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</si>
  <si>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</si>
  <si>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</si>
  <si>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</si>
  <si>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</si>
  <si>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</si>
  <si>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</si>
  <si>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</si>
  <si>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</si>
  <si>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</si>
  <si>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</si>
  <si>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</si>
  <si>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</si>
  <si>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</si>
  <si>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</si>
  <si>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</si>
  <si>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</si>
  <si>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</si>
  <si>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</si>
  <si>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</si>
  <si>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</si>
  <si>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</si>
  <si>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</si>
  <si>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</si>
  <si>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</si>
  <si>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</si>
  <si>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</si>
  <si>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</si>
  <si>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</si>
  <si>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</si>
  <si>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</si>
  <si>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</si>
  <si>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</si>
  <si>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</si>
  <si>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</si>
  <si>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</si>
  <si>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</si>
  <si>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</si>
  <si>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</si>
  <si>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</si>
  <si>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</si>
  <si>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</si>
  <si>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</si>
  <si>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</si>
  <si>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</si>
  <si>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</si>
  <si>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</si>
  <si>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</si>
  <si>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</si>
  <si>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</si>
  <si>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</si>
  <si>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</si>
  <si>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</si>
  <si>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</si>
  <si>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</si>
  <si>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</si>
  <si>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</si>
  <si>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</si>
  <si>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</si>
  <si>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</si>
  <si>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</si>
  <si>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</si>
  <si>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</si>
  <si>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</si>
  <si>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</si>
  <si>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</si>
  <si>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</si>
  <si>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</si>
  <si>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</si>
  <si>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</si>
  <si>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</si>
  <si>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</si>
  <si>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</si>
  <si>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</si>
  <si>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</si>
  <si>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</si>
  <si>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</si>
  <si>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</si>
  <si>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</si>
  <si>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</si>
  <si>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</si>
  <si>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</si>
  <si>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</si>
  <si>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</si>
  <si>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</si>
  <si>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</si>
  <si>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</si>
  <si>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</si>
  <si>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</si>
  <si>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</si>
  <si>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</si>
  <si>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</si>
  <si>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</si>
  <si>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</si>
  <si>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</si>
  <si>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</si>
  <si>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</si>
  <si>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</si>
  <si>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</si>
  <si>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</si>
  <si>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</si>
  <si>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</si>
  <si>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</si>
  <si>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</si>
  <si>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</si>
  <si>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</si>
  <si>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</si>
  <si>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</si>
  <si>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</si>
  <si>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</si>
  <si>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</si>
  <si>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</si>
  <si>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</si>
  <si>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</si>
  <si>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</si>
  <si>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</si>
  <si>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</si>
  <si>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</si>
  <si>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</si>
  <si>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</si>
  <si>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</si>
  <si>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</si>
  <si>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</si>
  <si>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</si>
  <si>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</si>
  <si>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</si>
  <si>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</si>
  <si>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</si>
  <si>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</si>
  <si>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</si>
  <si>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</si>
  <si>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</si>
  <si>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</si>
  <si>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</si>
  <si>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</si>
  <si>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</si>
  <si>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</si>
  <si>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</si>
  <si>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</si>
  <si>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</si>
  <si>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</si>
  <si>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</si>
  <si>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</si>
  <si>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</si>
  <si>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</si>
  <si>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</si>
  <si>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</si>
  <si>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</si>
  <si>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</si>
  <si>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</si>
  <si>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</si>
  <si>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</si>
  <si>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</si>
  <si>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</si>
  <si>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</si>
  <si>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</si>
  <si>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</si>
  <si>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</si>
  <si>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</si>
  <si>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</si>
  <si>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</si>
  <si>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</si>
  <si>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</si>
  <si>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</si>
  <si>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</si>
  <si>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</si>
  <si>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</si>
  <si>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</si>
  <si>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</si>
  <si>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</si>
  <si>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</si>
  <si>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</si>
  <si>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</si>
  <si>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</si>
  <si>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</si>
  <si>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</si>
  <si>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</si>
  <si>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</si>
  <si>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</si>
  <si>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</si>
  <si>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</si>
  <si>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</si>
  <si>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</si>
  <si>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</si>
  <si>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</si>
  <si>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</si>
  <si>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</si>
  <si>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</si>
  <si>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</si>
  <si>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</si>
  <si>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</si>
  <si>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</si>
  <si>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</si>
  <si>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</si>
  <si>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</si>
  <si>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</si>
  <si>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</si>
  <si>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</si>
  <si>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</si>
  <si>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</si>
  <si>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</si>
  <si>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</si>
  <si>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</si>
  <si>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</si>
  <si>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</si>
  <si>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</si>
  <si>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</si>
  <si>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</si>
  <si>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</si>
  <si>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</si>
  <si>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</si>
  <si>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</si>
  <si>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</si>
  <si>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</si>
  <si>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</si>
  <si>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</si>
  <si>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</si>
  <si>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</si>
  <si>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</si>
  <si>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</si>
  <si>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</si>
  <si>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</si>
  <si>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</si>
  <si>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</si>
  <si>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</si>
  <si>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</si>
  <si>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</si>
  <si>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</si>
  <si>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</si>
  <si>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</si>
  <si>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</si>
  <si>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</si>
  <si>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</si>
  <si>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</si>
  <si>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</si>
  <si>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</si>
  <si>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</si>
  <si>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</si>
  <si>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</si>
  <si>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</si>
  <si>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</si>
  <si>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</si>
  <si>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</si>
  <si>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</si>
  <si>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</si>
  <si>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</si>
  <si>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</si>
  <si>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</si>
  <si>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</si>
  <si>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</si>
  <si>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</si>
  <si>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</si>
  <si>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</si>
  <si>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</si>
  <si>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</si>
  <si>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</si>
  <si>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</si>
  <si>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</si>
  <si>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</si>
  <si>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</si>
  <si>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</si>
  <si>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</si>
  <si>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</si>
  <si>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</si>
  <si>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</si>
  <si>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</si>
  <si>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</si>
  <si>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</si>
  <si>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</si>
  <si>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</si>
  <si>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</si>
  <si>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</si>
  <si>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</si>
  <si>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</si>
  <si>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</si>
  <si>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</si>
  <si>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</si>
  <si>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</si>
  <si>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</si>
  <si>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</si>
  <si>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</si>
  <si>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</si>
  <si>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</si>
  <si>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</si>
  <si>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</si>
  <si>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</si>
  <si>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</si>
  <si>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</si>
  <si>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</si>
  <si>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</si>
  <si>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</si>
  <si>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</si>
  <si>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</si>
  <si>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</si>
  <si>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</si>
  <si>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</si>
  <si>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</si>
  <si>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</si>
  <si>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</si>
  <si>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</si>
  <si>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</si>
  <si>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</si>
  <si>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</si>
  <si>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</si>
  <si>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</si>
  <si>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</si>
  <si>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</si>
  <si>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</si>
  <si>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</si>
  <si>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</si>
  <si>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</si>
  <si>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</si>
  <si>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</si>
  <si>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</si>
  <si>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</si>
  <si>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</si>
  <si>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</si>
  <si>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</si>
  <si>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</si>
  <si>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</si>
  <si>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</si>
  <si>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</si>
  <si>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</si>
  <si>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</si>
  <si>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</si>
  <si>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</si>
  <si>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</si>
  <si>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</si>
  <si>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</si>
  <si>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</si>
  <si>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</si>
  <si>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</si>
  <si>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</si>
  <si>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</si>
  <si>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</si>
  <si>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</si>
  <si>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</si>
  <si>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</si>
  <si>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</si>
  <si>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</si>
  <si>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</si>
  <si>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</si>
  <si>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</si>
  <si>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</si>
  <si>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</si>
  <si>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</si>
  <si>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</si>
  <si>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</si>
  <si>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</si>
  <si>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</si>
  <si>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</si>
  <si>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</si>
  <si>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</si>
  <si>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</si>
  <si>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</si>
  <si>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</si>
  <si>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</si>
  <si>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</si>
  <si>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</si>
  <si>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</si>
  <si>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</si>
  <si>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</si>
  <si>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</si>
  <si>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</si>
  <si>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</si>
  <si>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</si>
  <si>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</si>
  <si>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</si>
  <si>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</si>
  <si>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</si>
  <si>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</si>
  <si>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</si>
  <si>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</si>
  <si>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</si>
  <si>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</si>
  <si>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</si>
  <si>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</si>
  <si>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</si>
  <si>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</si>
  <si>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</si>
  <si>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</si>
  <si>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</si>
  <si>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</si>
  <si>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</si>
  <si>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</si>
  <si>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</si>
  <si>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</si>
  <si>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</si>
  <si>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</si>
  <si>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</si>
  <si>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</si>
  <si>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</si>
  <si>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</si>
  <si>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</si>
  <si>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</si>
  <si>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</si>
  <si>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</si>
  <si>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</si>
  <si>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</si>
  <si>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</si>
  <si>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</si>
  <si>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</si>
  <si>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</si>
  <si>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</si>
  <si>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</si>
  <si>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</si>
  <si>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</si>
  <si>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</si>
  <si>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</si>
  <si>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</si>
  <si>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</si>
  <si>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</si>
  <si>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</si>
  <si>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</si>
  <si>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</si>
  <si>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</si>
  <si>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</si>
  <si>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</si>
  <si>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</si>
  <si>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</si>
  <si>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</si>
  <si>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</si>
  <si>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</si>
  <si>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</si>
  <si>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</si>
  <si>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</si>
  <si>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</si>
  <si>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</si>
  <si>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</si>
  <si>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</si>
  <si>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</si>
  <si>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</si>
  <si>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</si>
  <si>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</si>
  <si>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</si>
  <si>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</si>
  <si>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</si>
  <si>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</si>
  <si>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</si>
  <si>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</si>
  <si>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</si>
  <si>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</si>
  <si>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</si>
  <si>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</si>
  <si>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</si>
  <si>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</si>
  <si>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</si>
  <si>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</si>
  <si>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</si>
  <si>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</si>
  <si>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</si>
  <si>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</si>
  <si>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</si>
  <si>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</si>
  <si>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</si>
  <si>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</si>
  <si>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</si>
  <si>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</si>
  <si>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</si>
  <si>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</si>
  <si>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</si>
  <si>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</si>
  <si>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</si>
  <si>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</si>
  <si>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</si>
  <si>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</si>
  <si>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</si>
  <si>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</si>
  <si>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</si>
  <si>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</si>
  <si>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</si>
  <si>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</si>
  <si>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</si>
  <si>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</si>
  <si>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</si>
  <si>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</si>
  <si>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</si>
  <si>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</si>
  <si>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</si>
  <si>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</si>
  <si>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</si>
  <si>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</si>
  <si>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</si>
  <si>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</si>
  <si>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</si>
  <si>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</si>
  <si>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</si>
  <si>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</si>
  <si>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</si>
  <si>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</si>
  <si>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</si>
  <si>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</si>
  <si>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</si>
  <si>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</si>
  <si>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</si>
  <si>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</si>
  <si>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</si>
  <si>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</si>
  <si>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</si>
  <si>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</si>
  <si>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</si>
  <si>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</si>
  <si>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</si>
  <si>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</si>
  <si>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</si>
  <si>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</si>
  <si>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</si>
  <si>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</si>
  <si>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</si>
  <si>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</si>
  <si>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</si>
  <si>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</si>
  <si>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</si>
  <si>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</si>
  <si>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</si>
  <si>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</si>
  <si>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</si>
  <si>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</si>
  <si>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</si>
  <si>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</si>
  <si>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</si>
  <si>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</si>
  <si>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</si>
  <si>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</si>
  <si>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</si>
  <si>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</si>
  <si>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</si>
  <si>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</si>
  <si>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</si>
  <si>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</si>
  <si>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</si>
  <si>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</si>
  <si>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</si>
  <si>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</si>
  <si>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</si>
  <si>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</si>
  <si>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</si>
  <si>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</si>
  <si>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</si>
  <si>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</si>
  <si>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</si>
  <si>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</si>
  <si>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</si>
  <si>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</si>
  <si>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</si>
  <si>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</si>
  <si>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</si>
  <si>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</si>
  <si>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</si>
  <si>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</si>
  <si>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</si>
  <si>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</si>
  <si>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</si>
  <si>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</si>
  <si>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</si>
  <si>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</si>
  <si>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</si>
  <si>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</si>
  <si>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</si>
  <si>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</si>
  <si>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</si>
  <si>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</si>
  <si>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</si>
  <si>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</si>
  <si>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</si>
  <si>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</si>
  <si>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</si>
  <si>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</si>
  <si>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</si>
  <si>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</si>
  <si>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</si>
  <si>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</si>
  <si>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</si>
  <si>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</si>
  <si>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</si>
  <si>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</si>
  <si>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</si>
  <si>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</si>
  <si>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</si>
  <si>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</si>
  <si>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</si>
  <si>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</si>
  <si>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</si>
  <si>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</si>
  <si>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</si>
  <si>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</si>
  <si>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</si>
  <si>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</si>
  <si>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</si>
  <si>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</si>
  <si>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</si>
  <si>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</si>
  <si>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</si>
  <si>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</si>
  <si>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</si>
  <si>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</si>
  <si>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</si>
  <si>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</si>
  <si>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</si>
  <si>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</si>
  <si>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</si>
  <si>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</si>
  <si>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</si>
  <si>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</si>
  <si>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</si>
  <si>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</si>
  <si>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</si>
  <si>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</si>
  <si>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</si>
  <si>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</si>
  <si>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</si>
  <si>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</si>
  <si>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</si>
  <si>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</si>
  <si>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</si>
  <si>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</si>
  <si>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</si>
  <si>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</si>
  <si>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</si>
  <si>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</si>
  <si>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</si>
  <si>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</si>
  <si>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</si>
  <si>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</si>
  <si>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</si>
  <si>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</si>
  <si>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</si>
  <si>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</si>
  <si>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</si>
  <si>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</si>
  <si>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</si>
  <si>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</si>
  <si>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</si>
  <si>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</si>
  <si>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</si>
  <si>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</si>
  <si>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</si>
  <si>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</si>
  <si>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</si>
  <si>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</si>
  <si>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</si>
  <si>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</si>
  <si>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</si>
  <si>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</si>
  <si>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</si>
  <si>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</si>
  <si>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</si>
  <si>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</si>
  <si>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</si>
  <si>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</si>
  <si>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</si>
  <si>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</si>
  <si>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</si>
  <si>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</si>
  <si>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</si>
  <si>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</si>
  <si>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</si>
  <si>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</si>
  <si>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</si>
  <si>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</si>
  <si>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</si>
  <si>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</si>
  <si>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</si>
  <si>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</si>
  <si>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</si>
  <si>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</si>
  <si>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</si>
  <si>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</si>
  <si>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</si>
  <si>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</si>
  <si>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</si>
  <si>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</si>
  <si>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</si>
  <si>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</si>
  <si>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</si>
  <si>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</si>
  <si>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</si>
  <si>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</si>
  <si>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</si>
  <si>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</si>
  <si>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</si>
  <si>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</si>
  <si>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</si>
  <si>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</si>
  <si>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</si>
  <si>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</si>
  <si>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</si>
  <si>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</si>
  <si>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</si>
  <si>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</si>
  <si>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</si>
  <si>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</si>
  <si>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</si>
  <si>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</si>
  <si>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</si>
  <si>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</si>
  <si>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</si>
  <si>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</si>
  <si>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</si>
  <si>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</si>
  <si>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</si>
  <si>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</si>
  <si>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</si>
  <si>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</si>
  <si>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</si>
  <si>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</si>
  <si>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</si>
  <si>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</si>
  <si>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</si>
  <si>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</si>
  <si>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</si>
  <si>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</si>
  <si>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</si>
  <si>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</si>
  <si>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</si>
  <si>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</si>
  <si>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</si>
  <si>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</si>
  <si>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</si>
  <si>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</si>
  <si>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</si>
  <si>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</si>
  <si>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</si>
  <si>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</si>
  <si>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</si>
  <si>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</si>
  <si>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</si>
  <si>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</si>
  <si>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</si>
  <si>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</si>
  <si>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</si>
  <si>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</si>
  <si>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</si>
  <si>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</si>
  <si>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</si>
  <si>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</si>
  <si>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</si>
  <si>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</si>
  <si>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</si>
  <si>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</si>
  <si>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</si>
  <si>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</si>
  <si>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</si>
  <si>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</si>
  <si>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</si>
  <si>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</si>
  <si>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</si>
  <si>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</si>
  <si>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</si>
  <si>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</si>
  <si>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</si>
  <si>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</si>
  <si>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</si>
  <si>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</si>
  <si>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</si>
  <si>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</si>
  <si>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</si>
  <si>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</si>
  <si>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</si>
  <si>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</si>
  <si>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</si>
  <si>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</si>
  <si>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</si>
  <si>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</si>
  <si>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</si>
  <si>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</si>
  <si>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</si>
  <si>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</si>
  <si>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</si>
  <si>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</si>
  <si>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</si>
  <si>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</si>
  <si>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</si>
  <si>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</si>
  <si>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</si>
  <si>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</si>
  <si>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</si>
  <si>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</si>
  <si>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</si>
  <si>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</si>
  <si>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</si>
  <si>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</si>
  <si>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</si>
  <si>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</si>
  <si>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</si>
  <si>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</si>
  <si>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</si>
  <si>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</si>
  <si>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</si>
  <si>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</si>
  <si>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</si>
  <si>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</si>
  <si>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</si>
  <si>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</si>
  <si>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</si>
  <si>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</si>
  <si>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</si>
  <si>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</si>
  <si>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</si>
  <si>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</si>
  <si>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</si>
  <si>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</si>
  <si>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</si>
  <si>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</si>
  <si>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</si>
  <si>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</si>
  <si>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</si>
  <si>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</si>
  <si>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</si>
  <si>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</si>
  <si>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</si>
  <si>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</si>
  <si>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</si>
  <si>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</si>
  <si>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</si>
  <si>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</si>
  <si>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</si>
  <si>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</si>
  <si>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</si>
  <si>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</si>
  <si>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</si>
  <si>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</si>
  <si>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</si>
  <si>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</si>
  <si>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</si>
  <si>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</si>
  <si>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</si>
  <si>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</si>
  <si>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</si>
  <si>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</si>
  <si>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</si>
  <si>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</si>
  <si>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</si>
  <si>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</si>
  <si>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</si>
  <si>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</si>
  <si>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</si>
  <si>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</si>
  <si>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</si>
  <si>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</si>
  <si>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</si>
  <si>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</si>
  <si>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</si>
  <si>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</si>
  <si>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</si>
  <si>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</si>
  <si>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</si>
  <si>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</si>
  <si>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</si>
  <si>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</si>
  <si>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</si>
  <si>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</si>
  <si>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</si>
  <si>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</si>
  <si>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</si>
  <si>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</si>
  <si>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</si>
  <si>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</si>
  <si>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</si>
  <si>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</si>
  <si>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</si>
  <si>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</si>
  <si>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</si>
  <si>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</si>
  <si>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</si>
  <si>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</si>
  <si>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</si>
  <si>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</si>
  <si>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</si>
  <si>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</si>
  <si>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</si>
  <si>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</si>
  <si>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</si>
  <si>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</si>
  <si>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</si>
  <si>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</si>
  <si>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</si>
  <si>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</si>
  <si>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</si>
  <si>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</si>
  <si>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</si>
  <si>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</si>
  <si>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</si>
  <si>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</si>
  <si>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</si>
  <si>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</si>
  <si>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</si>
  <si>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</si>
  <si>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</si>
  <si>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</si>
  <si>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</si>
  <si>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</si>
  <si>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</si>
  <si>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</si>
  <si>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</si>
  <si>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</si>
  <si>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</si>
  <si>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</si>
  <si>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</si>
  <si>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</si>
  <si>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</si>
  <si>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</si>
  <si>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</si>
  <si>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</si>
  <si>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</si>
  <si>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</si>
  <si>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</si>
  <si>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</si>
  <si>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</si>
  <si>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</si>
  <si>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</si>
  <si>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</si>
  <si>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</si>
  <si>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</si>
  <si>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</si>
  <si>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</si>
  <si>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</si>
  <si>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</si>
  <si>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</si>
  <si>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</si>
  <si>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</si>
  <si>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</si>
  <si>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</si>
  <si>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</si>
  <si>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</si>
  <si>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</si>
  <si>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</si>
  <si>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</si>
  <si>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</si>
  <si>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</si>
  <si>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</si>
  <si>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</si>
  <si>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</si>
  <si>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</si>
  <si>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</si>
  <si>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</si>
  <si>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</si>
  <si>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</si>
  <si>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</si>
  <si>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</si>
  <si>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</si>
  <si>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</si>
  <si>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</si>
  <si>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</si>
  <si>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</si>
  <si>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</si>
  <si>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</si>
  <si>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</si>
  <si>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</si>
  <si>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</si>
  <si>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</si>
  <si>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</si>
  <si>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</si>
  <si>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</si>
  <si>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</si>
  <si>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</si>
  <si>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</si>
  <si>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</si>
  <si>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</si>
  <si>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</si>
  <si>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</si>
  <si>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</si>
  <si>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</si>
  <si>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</si>
  <si>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</si>
  <si>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</si>
  <si>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</si>
  <si>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</si>
  <si>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</si>
  <si>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</si>
  <si>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</si>
  <si>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</si>
  <si>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</si>
  <si>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</si>
  <si>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</si>
  <si>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</si>
  <si>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</si>
  <si>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</si>
  <si>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</si>
  <si>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</si>
  <si>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</si>
  <si>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</si>
  <si>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</si>
  <si>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</si>
  <si>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</si>
  <si>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</si>
  <si>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</si>
  <si>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</si>
  <si>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</si>
  <si>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</si>
  <si>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</si>
  <si>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</si>
  <si>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</si>
  <si>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</si>
  <si>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</si>
  <si>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</si>
  <si>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</si>
  <si>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</si>
  <si>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</si>
  <si>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</si>
  <si>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</si>
  <si>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</si>
  <si>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</si>
  <si>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</si>
  <si>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</si>
  <si>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</si>
  <si>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</si>
  <si>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</si>
  <si>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</si>
  <si>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</si>
  <si>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</si>
  <si>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</si>
  <si>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</si>
  <si>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</si>
  <si>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</si>
  <si>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</si>
  <si>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</si>
  <si>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</si>
  <si>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</si>
  <si>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</si>
  <si>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</si>
  <si>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</si>
  <si>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</si>
  <si>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</si>
  <si>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</si>
  <si>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</si>
  <si>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</si>
  <si>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</si>
  <si>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</si>
  <si>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</si>
  <si>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</si>
  <si>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</si>
  <si>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</si>
  <si>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</si>
  <si>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</si>
  <si>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</si>
  <si>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</si>
  <si>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</si>
  <si>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</si>
  <si>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</si>
  <si>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</si>
  <si>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</si>
  <si>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</si>
  <si>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</si>
  <si>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</si>
  <si>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</si>
  <si>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</si>
  <si>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</si>
  <si>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</si>
  <si>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</si>
  <si>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</si>
  <si>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</si>
  <si>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</si>
  <si>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</si>
  <si>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</si>
  <si>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</si>
  <si>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</si>
  <si>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</si>
  <si>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</si>
  <si>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Tower Semiconductor LTD.  NPB California</t>
  </si>
  <si>
    <t>Wafer Fab, Raw material</t>
  </si>
  <si>
    <t>Factory Number</t>
  </si>
  <si>
    <t>Fab3</t>
  </si>
  <si>
    <t>4321 Jamboree Road, Newport Beach, CA  92660</t>
  </si>
  <si>
    <t>Moti Amsalem</t>
  </si>
  <si>
    <t>cammmh@towersemi.com</t>
  </si>
  <si>
    <t>972-4-6506259</t>
  </si>
  <si>
    <t>Material Quality Engineer, Staff</t>
  </si>
  <si>
    <t>www.towerjazz.com</t>
  </si>
  <si>
    <t>NO. 300,KEJING SHE, HAICANG</t>
  </si>
  <si>
    <t>1 HAWES STREET</t>
  </si>
  <si>
    <t>Liu (Eric) Renfeng</t>
  </si>
  <si>
    <t>liu.rengfeng@cxtc.com</t>
  </si>
  <si>
    <t>Karin Laursen</t>
  </si>
  <si>
    <t>karin.laursen@globaltungsten.com</t>
  </si>
  <si>
    <t>Listed on RMAP Conformant Tungsten Smelter List</t>
  </si>
  <si>
    <t>Confidential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</si>
</sst>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Font="1" applyBorder="1" applyAlignment="1" applyProtection="1">
      <alignment wrapText="1"/>
      <protection locked="0"/>
    </xf>
    <xf numFmtId="0" fontId="0" fillId="0" borderId="57" xfId="0" applyFont="1" applyBorder="1" applyAlignment="1" applyProtection="1">
      <alignment wrapText="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mmmh@tower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werjazz.com/" TargetMode="External"/><Relationship Id="rId4" Type="http://schemas.openxmlformats.org/officeDocument/2006/relationships/hyperlink" Target="mailto:cammmh@tower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6"/>
      <c r="B2" s="38" t="s">
        <v>870</v>
      </c>
      <c r="C2" s="36"/>
      <c r="D2" s="208"/>
      <c r="E2" s="3"/>
      <c r="F2" s="36"/>
      <c r="G2" s="34"/>
    </row>
    <row r="3" spans="1:7">
      <c r="A3" s="356"/>
      <c r="B3" s="5" t="s">
        <v>862</v>
      </c>
      <c r="C3" s="6"/>
      <c r="D3" s="209"/>
      <c r="E3" s="3"/>
      <c r="F3" s="6"/>
      <c r="G3" s="34"/>
    </row>
    <row r="4" spans="1:7" ht="15.75">
      <c r="A4" s="356"/>
      <c r="B4" s="41" t="s">
        <v>872</v>
      </c>
      <c r="C4" s="7"/>
      <c r="D4" s="210"/>
      <c r="E4" s="3"/>
      <c r="F4" s="7"/>
      <c r="G4" s="34"/>
    </row>
    <row r="5" spans="1:7">
      <c r="A5" s="356"/>
      <c r="B5" s="40" t="s">
        <v>1063</v>
      </c>
      <c r="C5" s="4"/>
      <c r="D5" s="211"/>
      <c r="E5" s="3"/>
      <c r="F5" s="4"/>
      <c r="G5" s="34"/>
    </row>
    <row r="6" spans="1:7">
      <c r="A6" s="356"/>
      <c r="B6" s="8"/>
      <c r="C6" s="8"/>
      <c r="D6" s="212"/>
      <c r="E6" s="8"/>
      <c r="F6" s="8"/>
      <c r="G6" s="34"/>
    </row>
    <row r="7" spans="1:7">
      <c r="A7" s="356"/>
      <c r="B7" s="8"/>
      <c r="C7" s="8"/>
      <c r="D7" s="212"/>
      <c r="E7" s="8"/>
      <c r="F7" s="8"/>
      <c r="G7" s="34"/>
    </row>
    <row r="8" spans="1:7">
      <c r="A8" s="356"/>
      <c r="B8" s="8"/>
      <c r="C8" s="8"/>
      <c r="D8" s="212"/>
      <c r="E8" s="8"/>
      <c r="F8" s="8"/>
      <c r="G8" s="34"/>
    </row>
    <row r="9" spans="1:7">
      <c r="A9" s="356"/>
      <c r="B9" s="359" t="s">
        <v>873</v>
      </c>
      <c r="C9" s="359"/>
      <c r="D9" s="359"/>
      <c r="E9" s="359"/>
      <c r="F9" s="359"/>
      <c r="G9" s="34"/>
    </row>
    <row r="10" spans="1:7" ht="27" customHeight="1">
      <c r="A10" s="356"/>
      <c r="B10" s="360" t="s">
        <v>448</v>
      </c>
      <c r="C10" s="360"/>
      <c r="D10" s="360"/>
      <c r="E10" s="360"/>
      <c r="F10" s="360"/>
      <c r="G10" s="34"/>
    </row>
    <row r="11" spans="1:7" ht="27" customHeight="1">
      <c r="A11" s="356"/>
      <c r="B11" s="361"/>
      <c r="C11" s="361"/>
      <c r="D11" s="361"/>
      <c r="E11" s="361"/>
      <c r="F11" s="361"/>
      <c r="G11" s="34"/>
    </row>
    <row r="12" spans="1:7">
      <c r="A12" s="356"/>
      <c r="B12" s="42" t="s">
        <v>871</v>
      </c>
      <c r="C12" s="43" t="s">
        <v>874</v>
      </c>
      <c r="D12" s="213" t="s">
        <v>875</v>
      </c>
      <c r="E12" s="43" t="s">
        <v>628</v>
      </c>
      <c r="F12" s="43" t="s">
        <v>629</v>
      </c>
      <c r="G12" s="34"/>
    </row>
    <row r="13" spans="1:7" ht="33.75">
      <c r="A13" s="356"/>
      <c r="B13" s="2">
        <v>1</v>
      </c>
      <c r="C13" s="37" t="s">
        <v>1111</v>
      </c>
      <c r="D13" s="39" t="s">
        <v>899</v>
      </c>
      <c r="E13" s="196" t="s">
        <v>876</v>
      </c>
      <c r="F13" s="196"/>
      <c r="G13" s="34"/>
    </row>
    <row r="14" spans="1:7" ht="33.75">
      <c r="A14" s="356"/>
      <c r="B14" s="2">
        <v>2</v>
      </c>
      <c r="C14" s="37" t="s">
        <v>1111</v>
      </c>
      <c r="D14" s="39" t="s">
        <v>1048</v>
      </c>
      <c r="E14" s="196" t="s">
        <v>540</v>
      </c>
      <c r="F14" s="196" t="s">
        <v>541</v>
      </c>
      <c r="G14" s="34"/>
    </row>
    <row r="15" spans="1:7" ht="89.1" customHeight="1">
      <c r="A15" s="356"/>
      <c r="B15" s="362">
        <v>2.0099999999999998</v>
      </c>
      <c r="C15" s="353" t="s">
        <v>1111</v>
      </c>
      <c r="D15" s="365" t="s">
        <v>2358</v>
      </c>
      <c r="E15" s="197" t="s">
        <v>630</v>
      </c>
      <c r="F15" s="197" t="s">
        <v>633</v>
      </c>
      <c r="G15" s="34"/>
    </row>
    <row r="16" spans="1:7" ht="99" customHeight="1">
      <c r="A16" s="356"/>
      <c r="B16" s="363"/>
      <c r="C16" s="354"/>
      <c r="D16" s="366"/>
      <c r="E16" s="198"/>
      <c r="F16" s="198" t="s">
        <v>631</v>
      </c>
      <c r="G16" s="34"/>
    </row>
    <row r="17" spans="1:7" ht="63" customHeight="1">
      <c r="A17" s="356"/>
      <c r="B17" s="364"/>
      <c r="C17" s="355"/>
      <c r="D17" s="367"/>
      <c r="E17" s="37"/>
      <c r="F17" s="37" t="s">
        <v>632</v>
      </c>
      <c r="G17" s="34"/>
    </row>
    <row r="18" spans="1:7" ht="117" customHeight="1">
      <c r="A18" s="356"/>
      <c r="B18" s="362">
        <v>2.02</v>
      </c>
      <c r="C18" s="353" t="s">
        <v>1111</v>
      </c>
      <c r="D18" s="365" t="s">
        <v>2359</v>
      </c>
      <c r="E18" s="197" t="s">
        <v>449</v>
      </c>
      <c r="F18" s="197" t="s">
        <v>535</v>
      </c>
      <c r="G18" s="34"/>
    </row>
    <row r="19" spans="1:7" ht="71.099999999999994" customHeight="1">
      <c r="A19" s="356"/>
      <c r="B19" s="363"/>
      <c r="C19" s="354"/>
      <c r="D19" s="366"/>
      <c r="E19" s="198" t="s">
        <v>539</v>
      </c>
      <c r="F19" s="198" t="s">
        <v>450</v>
      </c>
      <c r="G19" s="34"/>
    </row>
    <row r="20" spans="1:7" ht="90.75" customHeight="1">
      <c r="A20" s="356"/>
      <c r="B20" s="363"/>
      <c r="C20" s="354"/>
      <c r="D20" s="366"/>
      <c r="E20" s="198"/>
      <c r="F20" s="198" t="s">
        <v>635</v>
      </c>
      <c r="G20" s="34"/>
    </row>
    <row r="21" spans="1:7" ht="74.25" customHeight="1">
      <c r="A21" s="356"/>
      <c r="B21" s="364"/>
      <c r="C21" s="355"/>
      <c r="D21" s="367"/>
      <c r="E21" s="37"/>
      <c r="F21" s="37" t="s">
        <v>634</v>
      </c>
      <c r="G21" s="34"/>
    </row>
    <row r="22" spans="1:7" ht="90" customHeight="1">
      <c r="A22" s="356"/>
      <c r="B22" s="371">
        <v>2.0299999999999998</v>
      </c>
      <c r="C22" s="371" t="s">
        <v>845</v>
      </c>
      <c r="D22" s="350" t="s">
        <v>2360</v>
      </c>
      <c r="E22" s="353" t="s">
        <v>447</v>
      </c>
      <c r="F22" s="197" t="s">
        <v>470</v>
      </c>
      <c r="G22" s="34"/>
    </row>
    <row r="23" spans="1:7" ht="109.5" customHeight="1">
      <c r="A23" s="356"/>
      <c r="B23" s="372"/>
      <c r="C23" s="372"/>
      <c r="D23" s="351"/>
      <c r="E23" s="354"/>
      <c r="F23" s="198" t="s">
        <v>846</v>
      </c>
      <c r="G23" s="34"/>
    </row>
    <row r="24" spans="1:7" ht="74.25" customHeight="1">
      <c r="A24" s="356"/>
      <c r="B24" s="373"/>
      <c r="C24" s="373"/>
      <c r="D24" s="352"/>
      <c r="E24" s="355"/>
      <c r="F24" s="37" t="s">
        <v>446</v>
      </c>
      <c r="G24" s="34"/>
    </row>
    <row r="25" spans="1:7" ht="72" customHeight="1">
      <c r="A25" s="356"/>
      <c r="B25" s="2" t="s">
        <v>468</v>
      </c>
      <c r="C25" s="37" t="s">
        <v>469</v>
      </c>
      <c r="D25" s="39" t="s">
        <v>2361</v>
      </c>
      <c r="E25" s="37" t="s">
        <v>2356</v>
      </c>
      <c r="F25" s="37" t="s">
        <v>471</v>
      </c>
      <c r="G25" s="34"/>
    </row>
    <row r="26" spans="1:7" ht="98.1" customHeight="1">
      <c r="A26" s="356"/>
      <c r="B26" s="368">
        <v>3</v>
      </c>
      <c r="C26" s="362" t="s">
        <v>72</v>
      </c>
      <c r="D26" s="365" t="s">
        <v>2362</v>
      </c>
      <c r="E26" s="353" t="s">
        <v>0</v>
      </c>
      <c r="F26" s="197" t="s">
        <v>66</v>
      </c>
      <c r="G26" s="34"/>
    </row>
    <row r="27" spans="1:7" ht="90" customHeight="1">
      <c r="A27" s="356"/>
      <c r="B27" s="369"/>
      <c r="C27" s="363"/>
      <c r="D27" s="366"/>
      <c r="E27" s="354"/>
      <c r="F27" s="198" t="s">
        <v>61</v>
      </c>
      <c r="G27" s="34"/>
    </row>
    <row r="28" spans="1:7" ht="19.350000000000001" customHeight="1">
      <c r="A28" s="356"/>
      <c r="B28" s="369"/>
      <c r="C28" s="363"/>
      <c r="D28" s="366"/>
      <c r="E28" s="354"/>
      <c r="F28" s="198" t="s">
        <v>62</v>
      </c>
      <c r="G28" s="34"/>
    </row>
    <row r="29" spans="1:7" ht="74.45" customHeight="1">
      <c r="A29" s="356"/>
      <c r="B29" s="369"/>
      <c r="C29" s="363"/>
      <c r="D29" s="366"/>
      <c r="E29" s="354"/>
      <c r="F29" s="198" t="s">
        <v>63</v>
      </c>
      <c r="G29" s="34"/>
    </row>
    <row r="30" spans="1:7" ht="62.45" customHeight="1">
      <c r="A30" s="356"/>
      <c r="B30" s="369"/>
      <c r="C30" s="363"/>
      <c r="D30" s="366"/>
      <c r="E30" s="354"/>
      <c r="F30" s="198" t="s">
        <v>64</v>
      </c>
      <c r="G30" s="34"/>
    </row>
    <row r="31" spans="1:7" ht="81" customHeight="1">
      <c r="A31" s="356"/>
      <c r="B31" s="369"/>
      <c r="C31" s="363"/>
      <c r="D31" s="366"/>
      <c r="E31" s="354"/>
      <c r="F31" s="198" t="s">
        <v>65</v>
      </c>
      <c r="G31" s="34"/>
    </row>
    <row r="32" spans="1:7" ht="48.75" customHeight="1">
      <c r="A32" s="356"/>
      <c r="B32" s="369"/>
      <c r="C32" s="363"/>
      <c r="D32" s="366"/>
      <c r="E32" s="354"/>
      <c r="F32" s="198" t="s">
        <v>68</v>
      </c>
      <c r="G32" s="34"/>
    </row>
    <row r="33" spans="1:7" ht="98.45" customHeight="1">
      <c r="A33" s="356"/>
      <c r="B33" s="369"/>
      <c r="C33" s="363"/>
      <c r="D33" s="366"/>
      <c r="E33" s="354"/>
      <c r="F33" s="198" t="s">
        <v>67</v>
      </c>
      <c r="G33" s="34"/>
    </row>
    <row r="34" spans="1:7" ht="89.1" customHeight="1">
      <c r="A34" s="356"/>
      <c r="B34" s="369"/>
      <c r="C34" s="363"/>
      <c r="D34" s="366"/>
      <c r="E34" s="354"/>
      <c r="F34" s="198" t="s">
        <v>69</v>
      </c>
      <c r="G34" s="34"/>
    </row>
    <row r="35" spans="1:7" ht="29.1" customHeight="1">
      <c r="A35" s="356"/>
      <c r="B35" s="369"/>
      <c r="C35" s="363"/>
      <c r="D35" s="366"/>
      <c r="E35" s="354"/>
      <c r="F35" s="198" t="s">
        <v>70</v>
      </c>
      <c r="G35" s="34"/>
    </row>
    <row r="36" spans="1:7" ht="126.75">
      <c r="A36" s="356"/>
      <c r="B36" s="370"/>
      <c r="C36" s="364"/>
      <c r="D36" s="367"/>
      <c r="E36" s="355"/>
      <c r="F36" s="199" t="s">
        <v>71</v>
      </c>
      <c r="G36" s="34"/>
    </row>
    <row r="37" spans="1:7" ht="112.5">
      <c r="A37" s="356"/>
      <c r="B37" s="171">
        <v>3.01</v>
      </c>
      <c r="C37" s="172" t="s">
        <v>72</v>
      </c>
      <c r="D37" s="39" t="s">
        <v>2363</v>
      </c>
      <c r="E37" s="200" t="s">
        <v>1351</v>
      </c>
      <c r="F37" s="201" t="s">
        <v>1457</v>
      </c>
      <c r="G37" s="34"/>
    </row>
    <row r="38" spans="1:7" ht="101.25">
      <c r="A38" s="356"/>
      <c r="B38" s="171">
        <v>3.02</v>
      </c>
      <c r="C38" s="172" t="s">
        <v>1384</v>
      </c>
      <c r="D38" s="39" t="s">
        <v>2364</v>
      </c>
      <c r="E38" s="200" t="s">
        <v>1399</v>
      </c>
      <c r="F38" s="201" t="s">
        <v>1458</v>
      </c>
      <c r="G38" s="34"/>
    </row>
    <row r="39" spans="1:7" ht="101.25">
      <c r="A39" s="356"/>
      <c r="B39" s="182">
        <v>4</v>
      </c>
      <c r="C39" s="181" t="s">
        <v>1554</v>
      </c>
      <c r="D39" s="39" t="s">
        <v>2365</v>
      </c>
      <c r="E39" s="37" t="s">
        <v>2307</v>
      </c>
      <c r="F39" s="37" t="s">
        <v>1555</v>
      </c>
      <c r="G39" s="34"/>
    </row>
    <row r="40" spans="1:7" ht="56.25">
      <c r="A40" s="356"/>
      <c r="B40" s="171">
        <v>4.01</v>
      </c>
      <c r="C40" s="181" t="s">
        <v>1554</v>
      </c>
      <c r="D40" s="39" t="s">
        <v>2367</v>
      </c>
      <c r="E40" s="37" t="s">
        <v>2321</v>
      </c>
      <c r="F40" s="37" t="s">
        <v>2326</v>
      </c>
      <c r="G40" s="34"/>
    </row>
    <row r="41" spans="1:7" ht="56.25">
      <c r="A41" s="356"/>
      <c r="B41" s="171" t="s">
        <v>2354</v>
      </c>
      <c r="C41" s="181" t="s">
        <v>1554</v>
      </c>
      <c r="D41" s="39" t="s">
        <v>2366</v>
      </c>
      <c r="E41" s="37" t="s">
        <v>2357</v>
      </c>
      <c r="F41" s="37" t="s">
        <v>2355</v>
      </c>
      <c r="G41" s="34"/>
    </row>
    <row r="42" spans="1:7" ht="56.25">
      <c r="A42" s="356"/>
      <c r="B42" s="171" t="s">
        <v>2399</v>
      </c>
      <c r="C42" s="181" t="s">
        <v>1554</v>
      </c>
      <c r="D42" s="39" t="s">
        <v>2406</v>
      </c>
      <c r="E42" s="37" t="s">
        <v>2356</v>
      </c>
      <c r="F42" s="37" t="s">
        <v>2400</v>
      </c>
      <c r="G42" s="34"/>
    </row>
    <row r="43" spans="1:7" ht="123.75">
      <c r="A43" s="356"/>
      <c r="B43" s="193">
        <v>4.0999999999999996</v>
      </c>
      <c r="C43" s="181" t="s">
        <v>2405</v>
      </c>
      <c r="D43" s="194">
        <v>42867</v>
      </c>
      <c r="E43" s="202" t="s">
        <v>2408</v>
      </c>
      <c r="F43" s="37" t="s">
        <v>2407</v>
      </c>
      <c r="G43" s="34"/>
    </row>
    <row r="44" spans="1:7" ht="78.75">
      <c r="A44" s="356"/>
      <c r="B44" s="193">
        <v>4.2</v>
      </c>
      <c r="C44" s="181" t="s">
        <v>2405</v>
      </c>
      <c r="D44" s="194">
        <v>42704</v>
      </c>
      <c r="E44" s="202" t="s">
        <v>2625</v>
      </c>
      <c r="F44" s="37" t="s">
        <v>2598</v>
      </c>
      <c r="G44" s="34"/>
    </row>
    <row r="45" spans="1:7" ht="157.5">
      <c r="A45" s="356"/>
      <c r="B45" s="243">
        <v>5</v>
      </c>
      <c r="C45" s="181" t="s">
        <v>2405</v>
      </c>
      <c r="D45" s="194">
        <v>42867</v>
      </c>
      <c r="E45" s="202" t="s">
        <v>13032</v>
      </c>
      <c r="F45" s="37" t="s">
        <v>12754</v>
      </c>
      <c r="G45" s="34"/>
    </row>
    <row r="46" spans="1:7" ht="45">
      <c r="A46" s="356"/>
      <c r="B46" s="193">
        <v>5.01</v>
      </c>
      <c r="C46" s="181" t="s">
        <v>2405</v>
      </c>
      <c r="D46" s="194">
        <v>42907</v>
      </c>
      <c r="E46" s="202" t="s">
        <v>13052</v>
      </c>
      <c r="F46" s="37" t="s">
        <v>12754</v>
      </c>
      <c r="G46" s="34"/>
    </row>
    <row r="47" spans="1:7" ht="67.5">
      <c r="A47" s="356"/>
      <c r="B47" s="193">
        <v>5.0999999999999996</v>
      </c>
      <c r="C47" s="181" t="s">
        <v>2405</v>
      </c>
      <c r="D47" s="194">
        <v>43070</v>
      </c>
      <c r="E47" s="202" t="s">
        <v>13247</v>
      </c>
      <c r="F47" s="37" t="s">
        <v>13248</v>
      </c>
      <c r="G47" s="34"/>
    </row>
    <row r="48" spans="1:7" ht="56.25">
      <c r="A48" s="356"/>
      <c r="B48" s="193">
        <v>5.1100000000000003</v>
      </c>
      <c r="C48" s="181" t="s">
        <v>13489</v>
      </c>
      <c r="D48" s="194">
        <v>43217</v>
      </c>
      <c r="E48" s="202" t="s">
        <v>13617</v>
      </c>
      <c r="F48" s="37" t="s">
        <v>13523</v>
      </c>
      <c r="G48" s="34"/>
    </row>
    <row r="49" spans="1:7" ht="56.25">
      <c r="A49" s="356"/>
      <c r="B49" s="193">
        <v>5.12</v>
      </c>
      <c r="C49" s="181" t="s">
        <v>13489</v>
      </c>
      <c r="D49" s="194">
        <v>43581</v>
      </c>
      <c r="E49" s="202" t="s">
        <v>13617</v>
      </c>
      <c r="F49" s="37" t="s">
        <v>14191</v>
      </c>
      <c r="G49" s="34"/>
    </row>
    <row r="50" spans="1:7" ht="78.75">
      <c r="A50" s="356"/>
      <c r="B50" s="243">
        <v>6</v>
      </c>
      <c r="C50" s="181" t="s">
        <v>13489</v>
      </c>
      <c r="D50" s="194">
        <v>43964</v>
      </c>
      <c r="E50" s="202" t="s">
        <v>14433</v>
      </c>
      <c r="F50" s="37" t="s">
        <v>14204</v>
      </c>
      <c r="G50" s="34"/>
    </row>
    <row r="51" spans="1:7" ht="45">
      <c r="A51" s="356"/>
      <c r="B51" s="193">
        <v>6.01</v>
      </c>
      <c r="C51" s="181" t="s">
        <v>13489</v>
      </c>
      <c r="D51" s="194">
        <v>43970</v>
      </c>
      <c r="E51" s="202" t="s">
        <v>15503</v>
      </c>
      <c r="F51" s="202" t="s">
        <v>14204</v>
      </c>
      <c r="G51" s="34"/>
    </row>
    <row r="52" spans="1:7" ht="13.5" thickBot="1">
      <c r="A52" s="357"/>
      <c r="B52" s="358" t="str">
        <f ca="1">OFFSET(L!$C$1,MATCH("General"&amp;"Cpy",L!$A:$A,0)-1,SL,,)</f>
        <v>© 2020 Responsible Minerals Initiative. All rights reserved.</v>
      </c>
      <c r="C52" s="358"/>
      <c r="D52" s="358"/>
      <c r="E52" s="358"/>
      <c r="F52" s="358"/>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4"/>
      <c r="B1" s="375"/>
      <c r="C1" s="375"/>
      <c r="D1" s="376"/>
    </row>
    <row r="2" spans="1:5" ht="71.25" customHeight="1">
      <c r="A2" s="87"/>
      <c r="B2" s="167" t="str">
        <f ca="1">OFFSET(L!$C$1,MATCH("Definitions"&amp;ADDRESS(ROW(),COLUMN(),4),L!$A:$A,0)-1,SL,,)</f>
        <v>ITEM</v>
      </c>
      <c r="C2" s="167" t="str">
        <f ca="1">OFFSET(L!$C$1,MATCH("Definitions"&amp;ADDRESS(ROW(),COLUMN(),4),L!$A:$A,0)-1,SL,,)</f>
        <v>DEFINITION</v>
      </c>
      <c r="D2" s="378"/>
      <c r="E2" s="127"/>
    </row>
    <row r="3" spans="1:5" ht="63.95" customHeight="1">
      <c r="A3" s="87"/>
      <c r="B3" s="74" t="str">
        <f ca="1">OFFSET(L!$C$1,MATCH("Definitions"&amp;ADDRESS(ROW(),COLUMN(),4),L!$A:$A,0)-1,SL,,)</f>
        <v>3TG</v>
      </c>
      <c r="C3" s="74" t="str">
        <f ca="1">OFFSET(L!$C$1,MATCH("Definitions"&amp;ADDRESS(ROW(),COLUMN(),4),L!$A:$A,0)-1,SL,,)</f>
        <v>Tantalum, tin, tungsten, gold</v>
      </c>
      <c r="D3" s="378"/>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8"/>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8"/>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8"/>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8"/>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8"/>
      <c r="E9" s="128" t="s">
        <v>1336</v>
      </c>
    </row>
    <row r="10" spans="1:5" ht="45">
      <c r="A10" s="87"/>
      <c r="B10" s="74" t="str">
        <f ca="1">OFFSET(L!$C$1,MATCH("Definitions"&amp;ADDRESS(ROW(),COLUMN(),4),L!$A:$A,0)-1,SL,,)</f>
        <v>DRC</v>
      </c>
      <c r="C10" s="74" t="str">
        <f ca="1">OFFSET(L!$C$1,MATCH("Definitions"&amp;ADDRESS(ROW(),COLUMN(),4),L!$A:$A,0)-1,SL,,)</f>
        <v>Democratic Republic of Congo</v>
      </c>
      <c r="D10" s="378"/>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8"/>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8"/>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8"/>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8"/>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8"/>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8"/>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8"/>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8"/>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8"/>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8"/>
      <c r="E20" s="128"/>
    </row>
    <row r="21" spans="1:5" ht="15">
      <c r="A21" s="87"/>
      <c r="B21" s="74" t="str">
        <f ca="1">OFFSET(L!$C$1,MATCH("Definitions"&amp;ADDRESS(ROW(),COLUMN(),4),L!$A:$A,0)-1,SL,,)</f>
        <v>RBA</v>
      </c>
      <c r="C21" s="74" t="str">
        <f ca="1">OFFSET(L!$C$1,MATCH("Definitions"&amp;ADDRESS(ROW(),COLUMN(),4),L!$A:$A,0)-1,SL,,)</f>
        <v>Responsible Business Alliance (www.responsiblebusiness.org)</v>
      </c>
      <c r="D21" s="378"/>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8"/>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8"/>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8"/>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8"/>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8"/>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8"/>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8"/>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8"/>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8"/>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8"/>
      <c r="E31" s="128"/>
    </row>
    <row r="32" spans="1:5" ht="15">
      <c r="A32" s="87"/>
      <c r="B32" s="377" t="str">
        <f ca="1">OFFSET(L!$C$1,MATCH("General"&amp;"Cpy",L!$A:$A,0)-1,SL,,)</f>
        <v>© 2020 Responsible Minerals Initiative. All rights reserved.</v>
      </c>
      <c r="C32" s="377"/>
      <c r="D32" s="378"/>
      <c r="E32" s="128"/>
    </row>
    <row r="33" spans="1:4" ht="13.5" thickBot="1">
      <c r="A33" s="88"/>
      <c r="B33" s="185"/>
      <c r="C33" s="185"/>
      <c r="D33" s="379"/>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25"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4" t="str">
        <f ca="1">OFFSET(L!$C$1,MATCH("Declaration"&amp;ADDRESS(ROW(),COLUMN(),4),L!$A:$A,0)-1,SL,,)</f>
        <v>Conflict Minerals Reporting Template (CMRT)</v>
      </c>
      <c r="E2" s="415"/>
      <c r="F2" s="415"/>
      <c r="G2" s="415"/>
      <c r="H2" s="415"/>
      <c r="I2" s="415"/>
      <c r="J2" s="41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5"/>
      <c r="G3" s="425"/>
      <c r="H3" s="425"/>
      <c r="I3" s="184"/>
      <c r="J3" s="168" t="s">
        <v>15505</v>
      </c>
      <c r="K3" s="47"/>
      <c r="L3" s="139"/>
      <c r="M3" s="130"/>
      <c r="N3" s="130"/>
      <c r="O3" s="131"/>
      <c r="P3" s="144">
        <f>MATCH($D$3,LN,0)</f>
        <v>1</v>
      </c>
    </row>
    <row r="4" spans="1:34" ht="15.75">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7" t="s">
        <v>15506</v>
      </c>
      <c r="E8" s="418"/>
      <c r="F8" s="418"/>
      <c r="G8" s="418"/>
      <c r="H8" s="418"/>
      <c r="I8" s="418"/>
      <c r="J8" s="41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7" t="s">
        <v>504</v>
      </c>
      <c r="E9" s="428"/>
      <c r="F9" s="428"/>
      <c r="G9" s="42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1"/>
      <c r="D10" s="421" t="s">
        <v>15507</v>
      </c>
      <c r="E10" s="422"/>
      <c r="F10" s="422"/>
      <c r="G10" s="422"/>
      <c r="H10" s="422"/>
      <c r="I10" s="422"/>
      <c r="J10" s="42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2"/>
      <c r="C11" s="151"/>
      <c r="D11" s="395" t="str">
        <f ca="1">IF(D9=Q9,OFFSET(L!$C$1,MATCH("Declaration"&amp;ADDRESS(ROW(),COLUMN(),4),L!$A:$A,0)-1,SL,,),"")</f>
        <v/>
      </c>
      <c r="E11" s="396"/>
      <c r="F11" s="396"/>
      <c r="G11" s="396"/>
      <c r="H11" s="396"/>
      <c r="I11" s="396"/>
      <c r="J11" s="39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4" t="s">
        <v>15508</v>
      </c>
      <c r="E12" s="405"/>
      <c r="F12" s="405"/>
      <c r="G12" s="405"/>
      <c r="H12" s="405"/>
      <c r="I12" s="405"/>
      <c r="J12" s="40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4" t="s">
        <v>15509</v>
      </c>
      <c r="E13" s="405"/>
      <c r="F13" s="405"/>
      <c r="G13" s="405"/>
      <c r="H13" s="405"/>
      <c r="I13" s="405"/>
      <c r="J13" s="40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0" t="s">
        <v>15510</v>
      </c>
      <c r="E14" s="424"/>
      <c r="F14" s="424"/>
      <c r="G14" s="424"/>
      <c r="H14" s="424"/>
      <c r="I14" s="424"/>
      <c r="J14" s="38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4" t="s">
        <v>15511</v>
      </c>
      <c r="E15" s="405"/>
      <c r="F15" s="405"/>
      <c r="G15" s="405"/>
      <c r="H15" s="405"/>
      <c r="I15" s="405"/>
      <c r="J15" s="40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3" t="s">
        <v>15512</v>
      </c>
      <c r="E16" s="434"/>
      <c r="F16" s="434"/>
      <c r="G16" s="434"/>
      <c r="H16" s="434"/>
      <c r="I16" s="434"/>
      <c r="J16" s="43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4" t="s">
        <v>15513</v>
      </c>
      <c r="E17" s="405"/>
      <c r="F17" s="405"/>
      <c r="G17" s="405"/>
      <c r="H17" s="405"/>
      <c r="I17" s="405"/>
      <c r="J17" s="40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4" t="s">
        <v>15511</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4" t="s">
        <v>15514</v>
      </c>
      <c r="E19" s="405"/>
      <c r="F19" s="405"/>
      <c r="G19" s="405"/>
      <c r="H19" s="405"/>
      <c r="I19" s="405"/>
      <c r="J19" s="40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15512</v>
      </c>
      <c r="E20" s="434"/>
      <c r="F20" s="434"/>
      <c r="G20" s="434"/>
      <c r="H20" s="434"/>
      <c r="I20" s="434"/>
      <c r="J20" s="43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6" t="s">
        <v>15513</v>
      </c>
      <c r="E21" s="437"/>
      <c r="F21" s="437"/>
      <c r="G21" s="437"/>
      <c r="H21" s="437"/>
      <c r="I21" s="437"/>
      <c r="J21" s="43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9">
        <v>43992</v>
      </c>
      <c r="E22" s="44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7"/>
      <c r="E23" s="40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0" t="s">
        <v>499</v>
      </c>
      <c r="E26" s="381"/>
      <c r="F26" s="15"/>
      <c r="G26" s="382"/>
      <c r="H26" s="383"/>
      <c r="I26" s="383"/>
      <c r="J26" s="384"/>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0" t="s">
        <v>499</v>
      </c>
      <c r="E27" s="381"/>
      <c r="F27" s="15"/>
      <c r="G27" s="382"/>
      <c r="H27" s="383"/>
      <c r="I27" s="383"/>
      <c r="J27" s="384"/>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0" t="s">
        <v>499</v>
      </c>
      <c r="E28" s="381"/>
      <c r="F28" s="15"/>
      <c r="G28" s="382"/>
      <c r="H28" s="383"/>
      <c r="I28" s="383"/>
      <c r="J28" s="384"/>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0" t="s">
        <v>498</v>
      </c>
      <c r="E29" s="381"/>
      <c r="F29" s="15"/>
      <c r="G29" s="382"/>
      <c r="H29" s="383"/>
      <c r="I29" s="383"/>
      <c r="J29" s="384"/>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0" t="str">
        <f ca="1">D25</f>
        <v>Answer</v>
      </c>
      <c r="E31" s="400"/>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8"/>
      <c r="E32" s="399"/>
      <c r="F32" s="58"/>
      <c r="G32" s="382"/>
      <c r="H32" s="383"/>
      <c r="I32" s="383"/>
      <c r="J32" s="384"/>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0"/>
      <c r="E33" s="381"/>
      <c r="F33" s="58"/>
      <c r="G33" s="382"/>
      <c r="H33" s="383"/>
      <c r="I33" s="383"/>
      <c r="J33" s="384"/>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0"/>
      <c r="E34" s="381"/>
      <c r="F34" s="58"/>
      <c r="G34" s="382"/>
      <c r="H34" s="383"/>
      <c r="I34" s="383"/>
      <c r="J34" s="384"/>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0" t="s">
        <v>498</v>
      </c>
      <c r="E35" s="381"/>
      <c r="F35" s="58"/>
      <c r="G35" s="382"/>
      <c r="H35" s="383"/>
      <c r="I35" s="383"/>
      <c r="J35" s="384"/>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0" t="str">
        <f ca="1">D25</f>
        <v>Answer</v>
      </c>
      <c r="E37" s="400"/>
      <c r="F37" s="21"/>
      <c r="G37" s="55" t="str">
        <f ca="1">G25</f>
        <v>Comments</v>
      </c>
      <c r="H37" s="403"/>
      <c r="I37" s="403"/>
      <c r="J37" s="403"/>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0"/>
      <c r="E38" s="381"/>
      <c r="F38" s="58"/>
      <c r="G38" s="382"/>
      <c r="H38" s="383"/>
      <c r="I38" s="383"/>
      <c r="J38" s="384"/>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0"/>
      <c r="E39" s="381"/>
      <c r="F39" s="58"/>
      <c r="G39" s="382"/>
      <c r="H39" s="383"/>
      <c r="I39" s="383"/>
      <c r="J39" s="384"/>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0"/>
      <c r="E40" s="381"/>
      <c r="F40" s="58"/>
      <c r="G40" s="382"/>
      <c r="H40" s="383"/>
      <c r="I40" s="383"/>
      <c r="J40" s="384"/>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0" t="s">
        <v>499</v>
      </c>
      <c r="E41" s="381"/>
      <c r="F41" s="58"/>
      <c r="G41" s="382"/>
      <c r="H41" s="383"/>
      <c r="I41" s="383"/>
      <c r="J41" s="384"/>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0" t="str">
        <f ca="1">D25</f>
        <v>Answer</v>
      </c>
      <c r="E43" s="400"/>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0"/>
      <c r="E44" s="381"/>
      <c r="F44" s="58"/>
      <c r="G44" s="382"/>
      <c r="H44" s="383"/>
      <c r="I44" s="383"/>
      <c r="J44" s="384"/>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0"/>
      <c r="E45" s="381"/>
      <c r="F45" s="58"/>
      <c r="G45" s="382"/>
      <c r="H45" s="383"/>
      <c r="I45" s="383"/>
      <c r="J45" s="384"/>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0"/>
      <c r="E46" s="381"/>
      <c r="F46" s="58"/>
      <c r="G46" s="382"/>
      <c r="H46" s="383"/>
      <c r="I46" s="383"/>
      <c r="J46" s="384"/>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0" t="s">
        <v>499</v>
      </c>
      <c r="E47" s="381"/>
      <c r="F47" s="58"/>
      <c r="G47" s="382"/>
      <c r="H47" s="383"/>
      <c r="I47" s="383"/>
      <c r="J47" s="384"/>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0" t="str">
        <f ca="1">D25</f>
        <v>Answer</v>
      </c>
      <c r="E49" s="400"/>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0"/>
      <c r="E50" s="381"/>
      <c r="F50" s="58"/>
      <c r="G50" s="382"/>
      <c r="H50" s="383"/>
      <c r="I50" s="383"/>
      <c r="J50" s="384"/>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0"/>
      <c r="E51" s="381"/>
      <c r="F51" s="58"/>
      <c r="G51" s="382"/>
      <c r="H51" s="383"/>
      <c r="I51" s="383"/>
      <c r="J51" s="384"/>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0"/>
      <c r="E52" s="381"/>
      <c r="F52" s="58"/>
      <c r="G52" s="382"/>
      <c r="H52" s="383"/>
      <c r="I52" s="383"/>
      <c r="J52" s="384"/>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0" t="s">
        <v>499</v>
      </c>
      <c r="E53" s="381"/>
      <c r="F53" s="58"/>
      <c r="G53" s="382"/>
      <c r="H53" s="383"/>
      <c r="I53" s="383"/>
      <c r="J53" s="384"/>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0" t="str">
        <f ca="1">D25</f>
        <v>Answer</v>
      </c>
      <c r="E55" s="400"/>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1"/>
      <c r="E56" s="402"/>
      <c r="F56" s="58"/>
      <c r="G56" s="382"/>
      <c r="H56" s="383"/>
      <c r="I56" s="383"/>
      <c r="J56" s="384"/>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1"/>
      <c r="E57" s="402"/>
      <c r="F57" s="58"/>
      <c r="G57" s="382"/>
      <c r="H57" s="383"/>
      <c r="I57" s="383"/>
      <c r="J57" s="384"/>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1"/>
      <c r="E58" s="402"/>
      <c r="F58" s="58"/>
      <c r="G58" s="382"/>
      <c r="H58" s="383"/>
      <c r="I58" s="383"/>
      <c r="J58" s="384"/>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1">
        <v>1</v>
      </c>
      <c r="E59" s="402"/>
      <c r="F59" s="58"/>
      <c r="G59" s="382"/>
      <c r="H59" s="383"/>
      <c r="I59" s="383"/>
      <c r="J59" s="384"/>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0" t="str">
        <f ca="1">D25</f>
        <v>Answer</v>
      </c>
      <c r="E61" s="400"/>
      <c r="F61" s="21"/>
      <c r="G61" s="55" t="str">
        <f ca="1">G25</f>
        <v>Comments</v>
      </c>
      <c r="H61" s="393"/>
      <c r="I61" s="393"/>
      <c r="J61" s="393"/>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8"/>
      <c r="E62" s="399"/>
      <c r="F62" s="58"/>
      <c r="G62" s="382"/>
      <c r="H62" s="383"/>
      <c r="I62" s="383"/>
      <c r="J62" s="384"/>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0"/>
      <c r="E63" s="381"/>
      <c r="F63" s="58"/>
      <c r="G63" s="382"/>
      <c r="H63" s="383"/>
      <c r="I63" s="383"/>
      <c r="J63" s="384"/>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0"/>
      <c r="E64" s="381"/>
      <c r="F64" s="58"/>
      <c r="G64" s="382"/>
      <c r="H64" s="383"/>
      <c r="I64" s="383"/>
      <c r="J64" s="384"/>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0" t="s">
        <v>498</v>
      </c>
      <c r="E65" s="381"/>
      <c r="F65" s="58"/>
      <c r="G65" s="382"/>
      <c r="H65" s="383"/>
      <c r="I65" s="383"/>
      <c r="J65" s="384"/>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0" t="str">
        <f ca="1">D25</f>
        <v>Answer</v>
      </c>
      <c r="E67" s="400"/>
      <c r="F67" s="21"/>
      <c r="G67" s="55" t="str">
        <f ca="1">G25</f>
        <v>Comments</v>
      </c>
      <c r="H67" s="393" t="str">
        <f>IF(Q75="(*)","Click here to enter smelter names","")</f>
        <v/>
      </c>
      <c r="I67" s="393"/>
      <c r="J67" s="393"/>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0"/>
      <c r="E68" s="381"/>
      <c r="F68" s="59"/>
      <c r="G68" s="382"/>
      <c r="H68" s="383"/>
      <c r="I68" s="383"/>
      <c r="J68" s="384"/>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0"/>
      <c r="E69" s="381"/>
      <c r="F69" s="59"/>
      <c r="G69" s="382"/>
      <c r="H69" s="383"/>
      <c r="I69" s="383"/>
      <c r="J69" s="384"/>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0"/>
      <c r="E70" s="381"/>
      <c r="F70" s="59"/>
      <c r="G70" s="382"/>
      <c r="H70" s="383"/>
      <c r="I70" s="383"/>
      <c r="J70" s="384"/>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0" t="s">
        <v>498</v>
      </c>
      <c r="E71" s="381"/>
      <c r="F71" s="61"/>
      <c r="G71" s="382"/>
      <c r="H71" s="383"/>
      <c r="I71" s="383"/>
      <c r="J71" s="384"/>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5" t="str">
        <f ca="1">OFFSET(L!$C$1,MATCH("Declaration"&amp;ADDRESS(ROW(),COLUMN(),4),L!$A:$A,0)-1,SL,,)</f>
        <v>Answer the Following Questions at a Company Level</v>
      </c>
      <c r="C73" s="385"/>
      <c r="D73" s="385"/>
      <c r="E73" s="385"/>
      <c r="F73" s="385"/>
      <c r="G73" s="385"/>
      <c r="H73" s="385"/>
      <c r="I73" s="385"/>
      <c r="J73" s="38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4" t="str">
        <f ca="1">D25</f>
        <v>Answer</v>
      </c>
      <c r="E74" s="394"/>
      <c r="F74" s="64"/>
      <c r="G74" s="394" t="str">
        <f ca="1">G25</f>
        <v>Comments</v>
      </c>
      <c r="H74" s="394" t="e">
        <f>HLOOKUP(SL,LT,$O74,0)</f>
        <v>#NAME?</v>
      </c>
      <c r="I74" s="39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0" t="s">
        <v>498</v>
      </c>
      <c r="E75" s="381"/>
      <c r="F75" s="68"/>
      <c r="G75" s="382"/>
      <c r="H75" s="383"/>
      <c r="I75" s="383"/>
      <c r="J75" s="384"/>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1"/>
      <c r="H76" s="391"/>
      <c r="I76" s="391"/>
      <c r="J76" s="39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0" t="s">
        <v>498</v>
      </c>
      <c r="E77" s="381"/>
      <c r="F77" s="68"/>
      <c r="G77" s="408" t="s">
        <v>15515</v>
      </c>
      <c r="H77" s="409"/>
      <c r="I77" s="409"/>
      <c r="J77" s="41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0" t="s">
        <v>498</v>
      </c>
      <c r="E79" s="381"/>
      <c r="F79" s="68"/>
      <c r="G79" s="382"/>
      <c r="H79" s="383"/>
      <c r="I79" s="383"/>
      <c r="J79" s="384"/>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0" t="s">
        <v>498</v>
      </c>
      <c r="E81" s="381"/>
      <c r="F81" s="68"/>
      <c r="G81" s="382"/>
      <c r="H81" s="383"/>
      <c r="I81" s="383"/>
      <c r="J81" s="384"/>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0" t="s">
        <v>15442</v>
      </c>
      <c r="E83" s="381"/>
      <c r="F83" s="68"/>
      <c r="G83" s="382"/>
      <c r="H83" s="383"/>
      <c r="I83" s="383"/>
      <c r="J83" s="384"/>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9" t="s">
        <v>498</v>
      </c>
      <c r="E85" s="390"/>
      <c r="F85" s="68"/>
      <c r="G85" s="382"/>
      <c r="H85" s="383"/>
      <c r="I85" s="383"/>
      <c r="J85" s="384"/>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1"/>
      <c r="H86" s="391"/>
      <c r="I86" s="391"/>
      <c r="J86" s="39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0" t="s">
        <v>498</v>
      </c>
      <c r="E87" s="381"/>
      <c r="F87" s="68"/>
      <c r="G87" s="382"/>
      <c r="H87" s="383"/>
      <c r="I87" s="383"/>
      <c r="J87" s="384"/>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2"/>
      <c r="H88" s="392"/>
      <c r="I88" s="392"/>
      <c r="J88" s="39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0" t="s">
        <v>14352</v>
      </c>
      <c r="E89" s="381"/>
      <c r="F89" s="68"/>
      <c r="G89" s="382"/>
      <c r="H89" s="383"/>
      <c r="I89" s="383"/>
      <c r="J89" s="384"/>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8" t="str">
        <f>IF(OR($D$8="",$I$3=""),"","Click here to check required fields completion")</f>
        <v/>
      </c>
      <c r="C90" s="388"/>
      <c r="D90" s="388"/>
      <c r="E90" s="388"/>
      <c r="F90" s="388"/>
      <c r="G90" s="388"/>
      <c r="H90" s="388"/>
      <c r="I90" s="388"/>
      <c r="J90" s="38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6" t="str">
        <f ca="1">OFFSET(L!$C$1,MATCH("General"&amp;"Cpy",L!$A:$A,0)-1,SL,,)</f>
        <v>© 2020 Responsible Minerals Initiative. All rights reserved.</v>
      </c>
      <c r="B91" s="387"/>
      <c r="C91" s="387"/>
      <c r="D91" s="387"/>
      <c r="E91" s="387"/>
      <c r="F91" s="387"/>
      <c r="G91" s="387"/>
      <c r="H91" s="387"/>
      <c r="I91" s="387"/>
      <c r="J91" s="38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3" priority="63" stopIfTrue="1">
      <formula>AND(OR($D$26="No",AND($D$26="Yes",$D$32="No")),OR($D$27="No",AND($D$27="Yes",$D$33="No")),OR($D$28="No",AND($D$28="Yes",$D$34="No")),OR($D$29="No",AND($D$29="Yes",$D$35="No")))</formula>
    </cfRule>
    <cfRule type="expression" dxfId="102" priority="64" stopIfTrue="1">
      <formula>IF(D75="",TRUE)</formula>
    </cfRule>
  </conditionalFormatting>
  <conditionalFormatting sqref="G77:J77">
    <cfRule type="expression" dxfId="101" priority="35" stopIfTrue="1">
      <formula>IF(AND($D$77="Yes",$G$77=""),TRUE)</formula>
    </cfRule>
  </conditionalFormatting>
  <conditionalFormatting sqref="D26:E26">
    <cfRule type="expression" dxfId="100" priority="115" stopIfTrue="1">
      <formula>IF($D$26="",TRUE)</formula>
    </cfRule>
  </conditionalFormatting>
  <conditionalFormatting sqref="D27:E27">
    <cfRule type="expression" dxfId="99" priority="122" stopIfTrue="1">
      <formula>IF($D$27="",TRUE)</formula>
    </cfRule>
  </conditionalFormatting>
  <conditionalFormatting sqref="D28:E28">
    <cfRule type="expression" dxfId="98" priority="123" stopIfTrue="1">
      <formula>IF($D$28="",TRUE)</formula>
    </cfRule>
  </conditionalFormatting>
  <conditionalFormatting sqref="D29:E29">
    <cfRule type="expression" dxfId="97" priority="124" stopIfTrue="1">
      <formula>IF($D$29="",TRUE)</formula>
    </cfRule>
  </conditionalFormatting>
  <conditionalFormatting sqref="D8:J8">
    <cfRule type="expression" dxfId="96" priority="129" stopIfTrue="1">
      <formula>IF($D$8="",TRUE)</formula>
    </cfRule>
  </conditionalFormatting>
  <conditionalFormatting sqref="D9:G9">
    <cfRule type="expression" dxfId="95" priority="130" stopIfTrue="1">
      <formula>IF($D$9="",TRUE)</formula>
    </cfRule>
  </conditionalFormatting>
  <conditionalFormatting sqref="D15:J15">
    <cfRule type="expression" dxfId="94" priority="131" stopIfTrue="1">
      <formula>IF($D$15="",TRUE)</formula>
    </cfRule>
  </conditionalFormatting>
  <conditionalFormatting sqref="D16:J16">
    <cfRule type="expression" dxfId="93" priority="132" stopIfTrue="1">
      <formula>IF($D$16="",TRUE)</formula>
    </cfRule>
  </conditionalFormatting>
  <conditionalFormatting sqref="D17:J17">
    <cfRule type="expression" dxfId="92" priority="133" stopIfTrue="1">
      <formula>IF($D$17="",TRUE)</formula>
    </cfRule>
  </conditionalFormatting>
  <conditionalFormatting sqref="D18:J18">
    <cfRule type="expression" dxfId="91" priority="134" stopIfTrue="1">
      <formula>IF($D$18="",TRUE)</formula>
    </cfRule>
  </conditionalFormatting>
  <conditionalFormatting sqref="D22:E22">
    <cfRule type="expression" dxfId="90" priority="137" stopIfTrue="1">
      <formula>IF($D$22="",TRUE)</formula>
    </cfRule>
  </conditionalFormatting>
  <conditionalFormatting sqref="D10:J10">
    <cfRule type="expression" dxfId="89" priority="34" stopIfTrue="1">
      <formula>IF($D$9=$Q$9,TRUE)</formula>
    </cfRule>
    <cfRule type="expression" dxfId="88" priority="144" stopIfTrue="1">
      <formula>IF(AND($D$10="",$D$9=$R$9),TRUE)</formula>
    </cfRule>
  </conditionalFormatting>
  <conditionalFormatting sqref="D34:E34 D40:E40 D52:E52 D58:E58 D64:E64 D70:E70">
    <cfRule type="expression" dxfId="87" priority="27" stopIfTrue="1">
      <formula>$P$28=""</formula>
    </cfRule>
  </conditionalFormatting>
  <conditionalFormatting sqref="D35:E35 D41:E41 D53:E53 D59:E59 D65:E65 D71:E71">
    <cfRule type="expression" dxfId="86" priority="142" stopIfTrue="1">
      <formula>$P$29=""</formula>
    </cfRule>
  </conditionalFormatting>
  <conditionalFormatting sqref="D32:E32">
    <cfRule type="expression" dxfId="85" priority="120" stopIfTrue="1">
      <formula>$P$26=""</formula>
    </cfRule>
  </conditionalFormatting>
  <conditionalFormatting sqref="D32:E32">
    <cfRule type="expression" dxfId="84" priority="33" stopIfTrue="1">
      <formula>IF(AND(OR($D$26="Yes",$D$26=""),$D$32=""),1,0)</formula>
    </cfRule>
  </conditionalFormatting>
  <conditionalFormatting sqref="D38 D50 D56 D62 D68">
    <cfRule type="expression" dxfId="83" priority="29" stopIfTrue="1">
      <formula>$P$32=""</formula>
    </cfRule>
  </conditionalFormatting>
  <conditionalFormatting sqref="D39:E39 D51 D57 D63 D69">
    <cfRule type="expression" dxfId="82" priority="28" stopIfTrue="1">
      <formula>$P$33=""</formula>
    </cfRule>
  </conditionalFormatting>
  <conditionalFormatting sqref="D40 D52 D58 D64 D70">
    <cfRule type="expression" dxfId="81" priority="18" stopIfTrue="1">
      <formula>$P$34=""</formula>
    </cfRule>
    <cfRule type="expression" dxfId="80" priority="140" stopIfTrue="1">
      <formula>IF(AND(OR($D$28="Yes",$D$28=""),D40=""),1,0)</formula>
    </cfRule>
  </conditionalFormatting>
  <conditionalFormatting sqref="D41 D53 D59 D65 D71">
    <cfRule type="expression" dxfId="79" priority="26" stopIfTrue="1">
      <formula>$P$35=""</formula>
    </cfRule>
  </conditionalFormatting>
  <conditionalFormatting sqref="D38:E38 D50:E50 D56:E56 D62:E62 D68:E68">
    <cfRule type="expression" dxfId="78" priority="31" stopIfTrue="1">
      <formula>$P$26=""</formula>
    </cfRule>
    <cfRule type="expression" dxfId="77" priority="32" stopIfTrue="1">
      <formula>IF(AND(OR($D$26="Yes",$D$26=""),D38=""),1,0)</formula>
    </cfRule>
  </conditionalFormatting>
  <conditionalFormatting sqref="G85:J85">
    <cfRule type="expression" dxfId="76" priority="25" stopIfTrue="1">
      <formula>IF(AND($D$85="Yes, using other format (describe)",$G$85=""),TRUE)</formula>
    </cfRule>
  </conditionalFormatting>
  <conditionalFormatting sqref="D39:E39 D51:E51 D57:E57 D63:E63 D69:E69">
    <cfRule type="expression" dxfId="75" priority="138" stopIfTrue="1">
      <formula>$P$39=""</formula>
    </cfRule>
    <cfRule type="expression" dxfId="74" priority="139" stopIfTrue="1">
      <formula>IF(AND(OR($D$27="Yes",$D$27=""),D39=""),1,0)</formula>
    </cfRule>
  </conditionalFormatting>
  <conditionalFormatting sqref="D33:E33">
    <cfRule type="expression" dxfId="73" priority="20" stopIfTrue="1">
      <formula>IF(AND(OR($D$27="Yes",$D$27=""),$D$33=""),1,0)</formula>
    </cfRule>
    <cfRule type="expression" dxfId="72" priority="21" stopIfTrue="1">
      <formula>$P$27=""</formula>
    </cfRule>
  </conditionalFormatting>
  <conditionalFormatting sqref="D34:E34">
    <cfRule type="expression" dxfId="71" priority="141" stopIfTrue="1">
      <formula>IF(AND(OR($D$28="Yes",$D$28=""),$D$34=""),1,0)</formula>
    </cfRule>
  </conditionalFormatting>
  <conditionalFormatting sqref="D41:E41 D53:E53 D59:E59 D65:E65 D71:E71">
    <cfRule type="expression" dxfId="70" priority="143" stopIfTrue="1">
      <formula>IF(AND(OR($D$29="Yes",$D$29=""),D41=""),1,0)</formula>
    </cfRule>
  </conditionalFormatting>
  <conditionalFormatting sqref="D35:E35">
    <cfRule type="expression" dxfId="69" priority="17" stopIfTrue="1">
      <formula>IF(AND(OR($D$29="Yes",$D$29=""),$D$35=""),1,0)</formula>
    </cfRule>
  </conditionalFormatting>
  <conditionalFormatting sqref="D20:J20">
    <cfRule type="expression" dxfId="68" priority="13" stopIfTrue="1">
      <formula>IF($D$20="",TRUE)</formula>
    </cfRule>
  </conditionalFormatting>
  <conditionalFormatting sqref="D46:E46">
    <cfRule type="expression" dxfId="67" priority="3" stopIfTrue="1">
      <formula>$P$28=""</formula>
    </cfRule>
  </conditionalFormatting>
  <conditionalFormatting sqref="D47:E47">
    <cfRule type="expression" dxfId="66" priority="11" stopIfTrue="1">
      <formula>$P$29=""</formula>
    </cfRule>
  </conditionalFormatting>
  <conditionalFormatting sqref="D44">
    <cfRule type="expression" dxfId="65" priority="5" stopIfTrue="1">
      <formula>$P$32=""</formula>
    </cfRule>
  </conditionalFormatting>
  <conditionalFormatting sqref="D45">
    <cfRule type="expression" dxfId="64" priority="4" stopIfTrue="1">
      <formula>$P$33=""</formula>
    </cfRule>
  </conditionalFormatting>
  <conditionalFormatting sqref="D46">
    <cfRule type="expression" dxfId="63" priority="1" stopIfTrue="1">
      <formula>$P$34=""</formula>
    </cfRule>
    <cfRule type="expression" dxfId="62" priority="10" stopIfTrue="1">
      <formula>IF(AND(OR($D$28="Yes",$D$28=""),D46=""),1,0)</formula>
    </cfRule>
  </conditionalFormatting>
  <conditionalFormatting sqref="D47">
    <cfRule type="expression" dxfId="61" priority="2" stopIfTrue="1">
      <formula>$P$35=""</formula>
    </cfRule>
  </conditionalFormatting>
  <conditionalFormatting sqref="D44:E44">
    <cfRule type="expression" dxfId="60" priority="6" stopIfTrue="1">
      <formula>$P$26=""</formula>
    </cfRule>
    <cfRule type="expression" dxfId="59" priority="7" stopIfTrue="1">
      <formula>IF(AND(OR($D$26="Yes",$D$26=""),D44=""),1,0)</formula>
    </cfRule>
  </conditionalFormatting>
  <conditionalFormatting sqref="D45:E45">
    <cfRule type="expression" dxfId="58" priority="8" stopIfTrue="1">
      <formula>$P$39=""</formula>
    </cfRule>
    <cfRule type="expression" dxfId="57" priority="9" stopIfTrue="1">
      <formula>IF(AND(OR($D$27="Yes",$D$27=""),D45=""),1,0)</formula>
    </cfRule>
  </conditionalFormatting>
  <conditionalFormatting sqref="D47:E47">
    <cfRule type="expression" dxfId="56"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P9" sqref="P9"/>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498</v>
      </c>
    </row>
    <row r="3" spans="1:34" s="269" customFormat="1" ht="243.9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7" t="s">
        <v>823</v>
      </c>
      <c r="B5" s="217" t="str">
        <f ca="1">IF(LEN(A5)=0,"",INDEX('Smelter Look-up'!$A:$A,MATCH($A5,'Smelter Look-up'!$E:$E,0)))</f>
        <v>Tungsten</v>
      </c>
      <c r="C5" s="221" t="str">
        <f ca="1">IF(LEN(A5)=0,"",INDEX('Smelter Look-up'!$C:$C,MATCH($A5,'Smelter Look-up'!$E:$E,0)))</f>
        <v>Xiamen Tungsten Co., Ltd.</v>
      </c>
      <c r="D5" s="221" t="s">
        <v>1406</v>
      </c>
      <c r="E5" s="217" t="str">
        <f ca="1">IF(ISERROR($V5),"",OFFSET('Smelter Look-up'!$D$4,$V5-4,0)&amp;"")</f>
        <v>CHINA</v>
      </c>
      <c r="F5" s="217" t="str">
        <f ca="1">IF(ISERROR($V5),"",OFFSET('Smelter Look-up'!$E$4,$V5-4,0))</f>
        <v>CID002082</v>
      </c>
      <c r="G5" s="217" t="str">
        <f ca="1">IF(C5=$X$4,"Enter smelter details",IF(ISERROR($V5),"",OFFSET('Smelter Look-up'!$F$4,$V5-4,0)))</f>
        <v>RMI</v>
      </c>
      <c r="H5" s="218" t="s">
        <v>15516</v>
      </c>
      <c r="I5" s="219" t="str">
        <f ca="1">IF(ISERROR($V5),"",OFFSET('Smelter Look-up'!$H$4,$V5-4,0))</f>
        <v>Xiamen</v>
      </c>
      <c r="J5" s="219" t="str">
        <f ca="1">IF(ISERROR($V5),"",OFFSET('Smelter Look-up'!$I$4,$V5-4,0))</f>
        <v>Fujian Sheng</v>
      </c>
      <c r="K5" s="348" t="s">
        <v>15518</v>
      </c>
      <c r="L5" s="348" t="s">
        <v>15519</v>
      </c>
      <c r="M5" s="348" t="s">
        <v>2483</v>
      </c>
      <c r="N5" s="348" t="s">
        <v>2483</v>
      </c>
      <c r="O5" s="348" t="s">
        <v>2483</v>
      </c>
      <c r="P5" s="220" t="s">
        <v>499</v>
      </c>
      <c r="Q5" s="349" t="s">
        <v>15522</v>
      </c>
      <c r="R5" s="217" t="str">
        <f ca="1">IF(ISERROR($V5),"",OFFSET('Smelter Look-up'!$C$4,$V5-4,0)&amp;"")</f>
        <v>Xiamen Tungsten Co., Ltd.</v>
      </c>
      <c r="S5" s="225" t="str">
        <f t="shared" ref="S5" ca="1" si="0">IF(B5="","",IF(ISERROR(MATCH($E5,CL,0)),"Unknown",INDIRECT("'C'!$A$"&amp;MATCH($E5,CL,0)+1)))</f>
        <v>CN</v>
      </c>
      <c r="T5" s="225" t="str">
        <f ca="1">IF(B5="","",IF(ISERROR(MATCH($J5,SorP!$B$1:$B$6230,0)),"",INDIRECT("'SorP'!$A$"&amp;MATCH($J5,SorP!$B$1:$B$6230,0))))</f>
        <v>CN-FJ</v>
      </c>
      <c r="U5" s="241"/>
      <c r="V5" s="275">
        <f ca="1">IF(C5="",NA(),MATCH($B5&amp;$C5,'Smelter Look-up'!$J:$J,0))</f>
        <v>558</v>
      </c>
      <c r="W5" s="276"/>
      <c r="X5" s="276">
        <f t="shared" ref="X5" ca="1" si="1">IF(AND(C5="Smelter not listed",OR(LEN(D5)=0,LEN(E5)=0)),1,0)</f>
        <v>0</v>
      </c>
      <c r="Y5" s="276"/>
      <c r="Z5" s="276"/>
      <c r="AB5" s="278" t="str">
        <f t="shared" ref="AB5" ca="1" si="2">B5&amp;C5</f>
        <v>TungstenXiamen Tungsten Co., Ltd.</v>
      </c>
    </row>
    <row r="6" spans="1:34" s="277" customFormat="1" ht="20.100000000000001" customHeight="1">
      <c r="A6" s="216" t="s">
        <v>815</v>
      </c>
      <c r="B6" s="217" t="str">
        <f ca="1">IF(LEN(A6)=0,"",INDEX('Smelter Look-up'!$A:$A,MATCH($A6,'Smelter Look-up'!$E:$E,0)))</f>
        <v>Tungsten</v>
      </c>
      <c r="C6" s="221" t="str">
        <f ca="1">IF(LEN(A6)=0,"",INDEX('Smelter Look-up'!$C:$C,MATCH($A6,'Smelter Look-up'!$E:$E,0)))</f>
        <v>Global Tungsten &amp; Powders Corp.</v>
      </c>
      <c r="D6" s="221" t="s">
        <v>1</v>
      </c>
      <c r="E6" s="217" t="str">
        <f ca="1">IF(ISERROR($V6),"",OFFSET('Smelter Look-up'!$D$4,$V6-4,0)&amp;"")</f>
        <v>UNITED STATES OF AMERICA</v>
      </c>
      <c r="F6" s="217" t="str">
        <f ca="1">IF(ISERROR($V6),"",OFFSET('Smelter Look-up'!$E$4,$V6-4,0))</f>
        <v>CID000568</v>
      </c>
      <c r="G6" s="217" t="str">
        <f ca="1">IF(C6=$X$4,"Enter smelter details",IF(ISERROR($V6),"",OFFSET('Smelter Look-up'!$F$4,$V6-4,0)))</f>
        <v>RMI</v>
      </c>
      <c r="H6" s="218" t="s">
        <v>15517</v>
      </c>
      <c r="I6" s="219" t="str">
        <f ca="1">IF(ISERROR($V6),"",OFFSET('Smelter Look-up'!$H$4,$V6-4,0))</f>
        <v>Towanda</v>
      </c>
      <c r="J6" s="219" t="str">
        <f ca="1">IF(ISERROR($V6),"",OFFSET('Smelter Look-up'!$I$4,$V6-4,0))</f>
        <v>Pennsylvania</v>
      </c>
      <c r="K6" s="348" t="s">
        <v>15520</v>
      </c>
      <c r="L6" s="348" t="s">
        <v>15521</v>
      </c>
      <c r="M6" s="348" t="s">
        <v>2483</v>
      </c>
      <c r="N6" s="348" t="s">
        <v>15523</v>
      </c>
      <c r="O6" s="348" t="s">
        <v>15523</v>
      </c>
      <c r="P6" s="220" t="s">
        <v>499</v>
      </c>
      <c r="Q6" s="349" t="s">
        <v>15522</v>
      </c>
      <c r="R6" s="217" t="str">
        <f ca="1">IF(ISERROR($V6),"",OFFSET('Smelter Look-up'!$C$4,$V6-4,0)&amp;"")</f>
        <v>Global Tungsten &amp; Powders Corp.</v>
      </c>
      <c r="S6" s="225" t="str">
        <f t="shared" ref="S6:S37" ca="1" si="3">IF(B6="","",IF(ISERROR(MATCH($E6,CL,0)),"Unknown",INDIRECT("'C'!$A$"&amp;MATCH($E6,CL,0)+1)))</f>
        <v>US</v>
      </c>
      <c r="T6" s="225" t="str">
        <f ca="1">IF(B6="","",IF(ISERROR(MATCH($J6,SorP!$B$1:$B$6230,0)),"",INDIRECT("'SorP'!$A$"&amp;MATCH($J6,SorP!$B$1:$B$6230,0))))</f>
        <v>US-PA</v>
      </c>
      <c r="U6" s="241"/>
      <c r="V6" s="275">
        <f ca="1">IF(C6="",NA(),MATCH($B6&amp;$C6,'Smelter Look-up'!$J:$J,0))</f>
        <v>512</v>
      </c>
      <c r="W6" s="276"/>
      <c r="X6" s="276">
        <f t="shared" ref="X6:X37" ca="1" si="4">IF(AND(C6="Smelter not listed",OR(LEN(D6)=0,LEN(E6)=0)),1,0)</f>
        <v>0</v>
      </c>
      <c r="Y6" s="276"/>
      <c r="Z6" s="276"/>
      <c r="AB6" s="278" t="str">
        <f t="shared" ref="AB6:AB37" ca="1" si="5">B6&amp;C6</f>
        <v>TungstenGlobal Tungsten &amp; Powders Corp.</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5" priority="40" stopIfTrue="1">
      <formula>IF(B586="",TRUE)</formula>
    </cfRule>
    <cfRule type="expression" dxfId="54" priority="51" stopIfTrue="1">
      <formula>IF(AND(COUNTIF(MetalSmelter,B586&amp;C586)=0,LEN(C586)&gt;0),TRUE,FALSE)</formula>
    </cfRule>
  </conditionalFormatting>
  <conditionalFormatting sqref="D586:D2504">
    <cfRule type="expression" dxfId="53" priority="34" stopIfTrue="1">
      <formula>IF(AND(LEN($C586)&gt;0,($C586&lt;&gt;"Smelter Not Listed")),1,0)</formula>
    </cfRule>
    <cfRule type="expression" dxfId="52" priority="59" stopIfTrue="1">
      <formula>IF(AND(D586="",$C586=$X$4),TRUE)</formula>
    </cfRule>
    <cfRule type="expression" dxfId="51" priority="60" stopIfTrue="1">
      <formula>IF(FIND("!",D586),TRUE)</formula>
    </cfRule>
  </conditionalFormatting>
  <conditionalFormatting sqref="G586:G2504">
    <cfRule type="expression" dxfId="50" priority="61" stopIfTrue="1">
      <formula>IF(FIND("Enter smelter details",G586),TRUE)</formula>
    </cfRule>
  </conditionalFormatting>
  <conditionalFormatting sqref="R586:R2505 E586:E2504">
    <cfRule type="expression" dxfId="49" priority="47" stopIfTrue="1">
      <formula>IF(AND(E586="",$C586=$X$4),TRUE)</formula>
    </cfRule>
    <cfRule type="expression" dxfId="48" priority="48" stopIfTrue="1">
      <formula>IF(FIND("!",E586),TRUE)</formula>
    </cfRule>
  </conditionalFormatting>
  <conditionalFormatting sqref="F586:F2504">
    <cfRule type="expression" dxfId="47" priority="38" stopIfTrue="1">
      <formula>IF(AND(LEN($A586)&gt;0,$A586&lt;&gt;$F586),TRUE,FALSE)</formula>
    </cfRule>
  </conditionalFormatting>
  <conditionalFormatting sqref="C586:C2504">
    <cfRule type="expression" dxfId="46" priority="37" stopIfTrue="1">
      <formula>IF(AND(B586&lt;&gt;"",C586=""),TRUE)</formula>
    </cfRule>
  </conditionalFormatting>
  <conditionalFormatting sqref="B21:B585 B5:B19">
    <cfRule type="expression" dxfId="45" priority="16" stopIfTrue="1">
      <formula>IF(B5="",TRUE)</formula>
    </cfRule>
    <cfRule type="expression" dxfId="44" priority="19" stopIfTrue="1">
      <formula>IF(AND(COUNTIF(MetalSmelter,B5&amp;C5)=0,LEN(C5)&gt;0),TRUE,FALSE)</formula>
    </cfRule>
  </conditionalFormatting>
  <conditionalFormatting sqref="D7:D19 D21:D585">
    <cfRule type="expression" dxfId="43" priority="13" stopIfTrue="1">
      <formula>IF(AND(LEN($C7)&gt;0,($C7&lt;&gt;"Smelter Not Listed")),1,0)</formula>
    </cfRule>
    <cfRule type="expression" dxfId="42" priority="20" stopIfTrue="1">
      <formula>IF(AND(D7="",$C7=$X$4),TRUE)</formula>
    </cfRule>
    <cfRule type="expression" dxfId="41" priority="21" stopIfTrue="1">
      <formula>IF(FIND("!",D7),TRUE)</formula>
    </cfRule>
  </conditionalFormatting>
  <conditionalFormatting sqref="G5:G19 G21:G585">
    <cfRule type="expression" dxfId="40" priority="22" stopIfTrue="1">
      <formula>IF(FIND("Enter smelter details",G5),TRUE)</formula>
    </cfRule>
  </conditionalFormatting>
  <conditionalFormatting sqref="R5:R585 E5:E19 E21:E585">
    <cfRule type="expression" dxfId="39" priority="17" stopIfTrue="1">
      <formula>IF(AND(E5="",$C5=$X$4),TRUE)</formula>
    </cfRule>
    <cfRule type="expression" dxfId="38" priority="18" stopIfTrue="1">
      <formula>IF(FIND("!",E5),TRUE)</formula>
    </cfRule>
  </conditionalFormatting>
  <conditionalFormatting sqref="F5:F19 F21:F585">
    <cfRule type="expression" dxfId="37" priority="15" stopIfTrue="1">
      <formula>IF(AND(LEN($A5)&gt;0,$A5&lt;&gt;$F5),TRUE,FALSE)</formula>
    </cfRule>
  </conditionalFormatting>
  <conditionalFormatting sqref="C21:C585 C5:C19">
    <cfRule type="expression" dxfId="36" priority="14" stopIfTrue="1">
      <formula>IF(AND(B5&lt;&gt;"",C5=""),TRUE)</formula>
    </cfRule>
  </conditionalFormatting>
  <conditionalFormatting sqref="B20">
    <cfRule type="expression" dxfId="35" priority="6" stopIfTrue="1">
      <formula>IF(B20="",TRUE)</formula>
    </cfRule>
    <cfRule type="expression" dxfId="34" priority="9" stopIfTrue="1">
      <formula>IF(AND(COUNTIF(MetalSmelter,B20&amp;C20)=0,LEN(C20)&gt;0),TRUE,FALSE)</formula>
    </cfRule>
  </conditionalFormatting>
  <conditionalFormatting sqref="D20">
    <cfRule type="expression" dxfId="33" priority="3" stopIfTrue="1">
      <formula>IF(AND(LEN($C20)&gt;0,($C20&lt;&gt;"Smelter Not Listed")),1,0)</formula>
    </cfRule>
    <cfRule type="expression" dxfId="32" priority="10" stopIfTrue="1">
      <formula>IF(AND(D20="",$C20=$X$4),TRUE)</formula>
    </cfRule>
    <cfRule type="expression" dxfId="31" priority="11" stopIfTrue="1">
      <formula>IF(FIND("!",D20),TRUE)</formula>
    </cfRule>
  </conditionalFormatting>
  <conditionalFormatting sqref="G20">
    <cfRule type="expression" dxfId="30" priority="12" stopIfTrue="1">
      <formula>IF(FIND("Enter smelter details",G20),TRUE)</formula>
    </cfRule>
  </conditionalFormatting>
  <conditionalFormatting sqref="E20">
    <cfRule type="expression" dxfId="29" priority="7" stopIfTrue="1">
      <formula>IF(AND(E20="",$C20=$X$4),TRUE)</formula>
    </cfRule>
    <cfRule type="expression" dxfId="28" priority="8" stopIfTrue="1">
      <formula>IF(FIND("!",E20),TRUE)</formula>
    </cfRule>
  </conditionalFormatting>
  <conditionalFormatting sqref="F20">
    <cfRule type="expression" dxfId="27" priority="5" stopIfTrue="1">
      <formula>IF(AND(LEN($A20)&gt;0,$A20&lt;&gt;$F20),TRUE,FALSE)</formula>
    </cfRule>
  </conditionalFormatting>
  <conditionalFormatting sqref="C20">
    <cfRule type="expression" dxfId="26" priority="4" stopIfTrue="1">
      <formula>IF(AND(B20&lt;&gt;"",C20=""),TRUE)</formula>
    </cfRule>
  </conditionalFormatting>
  <conditionalFormatting sqref="A5">
    <cfRule type="expression" dxfId="25" priority="2" stopIfTrue="1">
      <formula>IF(AND(LEN($A5)&gt;0,$A5&lt;&gt;$F5),TRUE,FALSE)</formula>
    </cfRule>
  </conditionalFormatting>
  <conditionalFormatting sqref="D5:D6">
    <cfRule type="expression" dxfId="24" priority="1" stopIfTrue="1">
      <formula>IF(AND(C5&lt;&gt;"",D5=""),TRUE)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8.25">
      <c r="A4" s="103" t="str">
        <f ca="1">Declaration!B8</f>
        <v>Company Name (*):</v>
      </c>
      <c r="B4" s="102" t="str">
        <f>Declaration!D8</f>
        <v>Tower Semiconductor LTD.  NPB California</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8.25">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8.25">
      <c r="A6" s="103" t="str">
        <f ca="1">Declaration!B10</f>
        <v>Description of Scope:</v>
      </c>
      <c r="B6" s="102" t="str">
        <f>Declaration!D10</f>
        <v>Wafer Fab, Raw material</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8.25">
      <c r="A7" s="103" t="str">
        <f ca="1">Declaration!B15</f>
        <v>Contact Name (*):</v>
      </c>
      <c r="B7" s="102" t="str">
        <f>Declaration!D15</f>
        <v>Moti Amsalem</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8.25">
      <c r="A8" s="103" t="str">
        <f ca="1">Declaration!B16</f>
        <v>Email – Contact (*):</v>
      </c>
      <c r="B8" s="102" t="str">
        <f>Declaration!D16</f>
        <v>cammmh@towersemi.com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8.25">
      <c r="A9" s="103" t="str">
        <f ca="1">Declaration!B17</f>
        <v>Phone – Contact (*):</v>
      </c>
      <c r="B9" s="102" t="str">
        <f>Declaration!D17</f>
        <v>972-4-6506259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8.25">
      <c r="A10" s="103" t="str">
        <f ca="1">Declaration!B18</f>
        <v>Authorizer (*):</v>
      </c>
      <c r="B10" s="102" t="str">
        <f>Declaration!D18</f>
        <v>Moti Amsalem</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8.25">
      <c r="A11" s="103" t="str">
        <f ca="1">Declaration!B20</f>
        <v>Email - Authorizer (*):</v>
      </c>
      <c r="B11" s="102" t="str">
        <f>Declaration!D20</f>
        <v>cammmh@towersemi.com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8.25">
      <c r="A12" s="103" t="str">
        <f ca="1">Declaration!B22</f>
        <v>Effective Date (*):</v>
      </c>
      <c r="B12" s="104">
        <f>Declaration!D22</f>
        <v>43992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5.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8.25">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8.25">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8.25">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8.25">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8.25">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8.25">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8.25">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8.25">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25">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25">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25">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8.25">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8.25">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8.25">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8.25">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5.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5.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5.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5.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8.25">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8.25">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8.25">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8.25">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8.25">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www.towerjazz.com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8.25">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25">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25" hidden="1">
      <c r="A61" s="102"/>
      <c r="B61" s="102"/>
      <c r="C61" s="102"/>
      <c r="D61" s="108"/>
      <c r="E61" s="84"/>
      <c r="F61" s="107"/>
      <c r="G61" s="81"/>
      <c r="H61" s="82"/>
      <c r="I61" s="179"/>
    </row>
    <row r="62" spans="1:10" ht="38.25">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8.25">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8.25">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25">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8.25">
      <c r="A66" s="102" t="s">
        <v>1899</v>
      </c>
      <c r="B66" s="102"/>
      <c r="C66" s="102" t="str">
        <f t="shared" ca="1" si="13"/>
        <v>Complete</v>
      </c>
      <c r="D66" s="108" t="str">
        <f ca="1">IF(H66=0,"","Click here to provide smelter information")</f>
        <v/>
      </c>
      <c r="E66" s="84" t="s">
        <v>828</v>
      </c>
      <c r="F66" s="107">
        <f>F25</f>
        <v>0</v>
      </c>
      <c r="G66" s="81">
        <f ca="1">IF(AND(COUNTIF(SmelterIdetifiedForMetal,"Tin")&gt;0,COUNTIF('Smelter List'!AB$5:AB$2504,"Tin?*")&gt;0),0,1)</f>
        <v>1</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8.25">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8.25">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921</v>
      </c>
      <c r="C4" s="448"/>
      <c r="D4" s="448"/>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2020 Responsible Minerals Initiative. All rights reserved.</v>
      </c>
      <c r="C1001" s="451"/>
      <c r="D1001" s="451"/>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48.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1.2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14">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56.5">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16">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1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8">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75.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2.7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2.7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3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54">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40.5">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2.7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2.7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5">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28.5">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Amsalem Moti</cp:lastModifiedBy>
  <cp:lastPrinted>2015-04-21T20:47:43Z</cp:lastPrinted>
  <dcterms:created xsi:type="dcterms:W3CDTF">2010-06-21T21:00:23Z</dcterms:created>
  <dcterms:modified xsi:type="dcterms:W3CDTF">2020-06-10T07:40:56Z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