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FromDesktop\Web\Certificates\2021\Excels\April\"/>
    </mc:Choice>
  </mc:AlternateContent>
  <xr:revisionPtr revIDLastSave="0" documentId="8_{9306394F-BA10-4697-A4B9-F29A89498499}"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391" i="5" l="1"/>
  <c r="AB446" i="5"/>
  <c r="AB450" i="5"/>
  <c r="AB481" i="5"/>
  <c r="R528" i="5"/>
  <c r="G681" i="5"/>
  <c r="AB720" i="5"/>
  <c r="AB858" i="5"/>
  <c r="S1748" i="5"/>
  <c r="T1883" i="5"/>
  <c r="T2133" i="5"/>
  <c r="S120" i="5"/>
  <c r="T250" i="5"/>
  <c r="S858" i="5"/>
  <c r="AB902" i="5"/>
  <c r="AB1071" i="5"/>
  <c r="T1098" i="5"/>
  <c r="S1398" i="5"/>
  <c r="AB1814" i="5"/>
  <c r="T2188" i="5"/>
  <c r="AB2413" i="5"/>
  <c r="AB1437" i="5"/>
  <c r="T1814" i="5"/>
  <c r="AB299" i="5"/>
  <c r="S1000" i="5"/>
  <c r="AB1115" i="5"/>
  <c r="AB1293" i="5"/>
  <c r="AB1353" i="5"/>
  <c r="T2060" i="5"/>
  <c r="T2248" i="5"/>
  <c r="AB2465" i="5"/>
  <c r="AB488" i="5"/>
  <c r="S515" i="5"/>
  <c r="G550" i="5"/>
  <c r="T585" i="5"/>
  <c r="AB1140" i="5"/>
  <c r="AB1566" i="5"/>
  <c r="AB1594" i="5"/>
  <c r="AB1672" i="5"/>
  <c r="T190" i="5"/>
  <c r="AB410" i="5"/>
  <c r="AB594" i="5"/>
  <c r="AB630" i="5"/>
  <c r="T645" i="5"/>
  <c r="S778" i="5"/>
  <c r="S853" i="5"/>
  <c r="T1435" i="5"/>
  <c r="S1477" i="5"/>
  <c r="S2015" i="5"/>
  <c r="S2038" i="5"/>
  <c r="T2163" i="5"/>
  <c r="S414" i="5"/>
  <c r="AB1401" i="5"/>
  <c r="T1519" i="5"/>
  <c r="T1684" i="5"/>
  <c r="S1770" i="5"/>
  <c r="T1781" i="5"/>
  <c r="S2140" i="5"/>
  <c r="T2317"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G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R42" i="5"/>
  <c r="H46" i="5"/>
  <c r="H62"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39" i="5"/>
  <c r="X39" i="5" s="1"/>
  <c r="I46"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39" i="5"/>
  <c r="E49" i="5"/>
  <c r="X49" i="5" s="1"/>
  <c r="I50" i="5"/>
  <c r="E65" i="5"/>
  <c r="X65" i="5" s="1"/>
  <c r="I66" i="5"/>
  <c r="S72" i="5"/>
  <c r="E81" i="5"/>
  <c r="X81" i="5" s="1"/>
  <c r="I82" i="5"/>
  <c r="S88"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H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I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E2044" i="5" s="1"/>
  <c r="X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J2232" i="5" s="1"/>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I973" i="5"/>
  <c r="H973" i="5"/>
  <c r="E973" i="5"/>
  <c r="X973" i="5" s="1"/>
  <c r="J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AB1315" i="5"/>
  <c r="AB1319" i="5"/>
  <c r="H1321" i="5"/>
  <c r="AB1323"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R1313" i="5"/>
  <c r="E1321" i="5"/>
  <c r="X1321" i="5" s="1"/>
  <c r="R1321"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73" i="5"/>
  <c r="R1677" i="5"/>
  <c r="R1681" i="5"/>
  <c r="R1685" i="5"/>
  <c r="R1689" i="5"/>
  <c r="R1693"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J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8" i="5"/>
  <c r="V2052" i="5"/>
  <c r="I2053" i="5"/>
  <c r="T2055" i="5"/>
  <c r="V2060" i="5"/>
  <c r="I2061" i="5"/>
  <c r="T2063" i="5"/>
  <c r="V2068"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E2303" i="5"/>
  <c r="X2303" i="5" s="1"/>
  <c r="R2303" i="5"/>
  <c r="H2306" i="5"/>
  <c r="H2308" i="5"/>
  <c r="E2310" i="5"/>
  <c r="X2310" i="5" s="1"/>
  <c r="R2310" i="5"/>
  <c r="H2310" i="5"/>
  <c r="J2313" i="5"/>
  <c r="S2316" i="5"/>
  <c r="R2321" i="5"/>
  <c r="J2321" i="5"/>
  <c r="I2321" i="5"/>
  <c r="H2321" i="5"/>
  <c r="E2321" i="5"/>
  <c r="X2321" i="5" s="1"/>
  <c r="I2324" i="5"/>
  <c r="H2324" i="5"/>
  <c r="J2324" i="5"/>
  <c r="J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37" i="5" l="1"/>
  <c r="B37" i="5"/>
  <c r="C36" i="5"/>
  <c r="B36" i="5"/>
  <c r="C35" i="5"/>
  <c r="B35" i="5"/>
  <c r="C34" i="5"/>
  <c r="B34" i="5"/>
  <c r="C33" i="5"/>
  <c r="B33" i="5"/>
  <c r="C32" i="5"/>
  <c r="B32" i="5"/>
  <c r="C31" i="5"/>
  <c r="B31" i="5"/>
  <c r="C30" i="5"/>
  <c r="B30" i="5"/>
  <c r="C29" i="5"/>
  <c r="B29" i="5"/>
  <c r="C28" i="5"/>
  <c r="B28" i="5"/>
  <c r="C27" i="5"/>
  <c r="B27" i="5"/>
  <c r="B26" i="5"/>
  <c r="C26" i="5"/>
  <c r="C25" i="5"/>
  <c r="B25" i="5"/>
  <c r="C24" i="5"/>
  <c r="B24" i="5"/>
  <c r="C23" i="5"/>
  <c r="B23" i="5"/>
  <c r="B22" i="5"/>
  <c r="C22" i="5"/>
  <c r="C21" i="5"/>
  <c r="B21" i="5"/>
  <c r="C20" i="5"/>
  <c r="B20" i="5"/>
  <c r="B19" i="5"/>
  <c r="C19" i="5"/>
  <c r="C18" i="5"/>
  <c r="B18" i="5"/>
  <c r="B16" i="5"/>
  <c r="B17" i="5"/>
  <c r="B15" i="5"/>
  <c r="B13" i="5"/>
  <c r="B14" i="5"/>
  <c r="B11" i="5"/>
  <c r="B12" i="5"/>
  <c r="B9" i="5"/>
  <c r="B10" i="5"/>
  <c r="C4" i="6"/>
  <c r="F2301" i="5"/>
  <c r="G2232" i="5"/>
  <c r="I2317" i="5"/>
  <c r="R2232" i="5"/>
  <c r="R2165" i="5"/>
  <c r="J2044" i="5"/>
  <c r="E1593" i="5"/>
  <c r="X1593" i="5" s="1"/>
  <c r="H1577" i="5"/>
  <c r="F1593" i="5"/>
  <c r="H1680" i="5"/>
  <c r="R1039" i="5"/>
  <c r="H1313" i="5"/>
  <c r="J1110" i="5"/>
  <c r="J752" i="5"/>
  <c r="E496" i="5"/>
  <c r="X496" i="5" s="1"/>
  <c r="J189" i="5"/>
  <c r="F1313" i="5"/>
  <c r="I1325" i="5"/>
  <c r="J2317" i="5"/>
  <c r="E2165" i="5"/>
  <c r="X2165" i="5" s="1"/>
  <c r="R2069" i="5"/>
  <c r="J2069" i="5"/>
  <c r="H2069" i="5"/>
  <c r="H1851" i="5"/>
  <c r="I1680" i="5"/>
  <c r="R1325" i="5"/>
  <c r="I1039" i="5"/>
  <c r="R1110" i="5"/>
  <c r="G836" i="5"/>
  <c r="R752" i="5"/>
  <c r="I596" i="5"/>
  <c r="R2317" i="5"/>
  <c r="I2069" i="5"/>
  <c r="J1851" i="5"/>
  <c r="J1577" i="5"/>
  <c r="J1680" i="5"/>
  <c r="E1325" i="5"/>
  <c r="X1325" i="5" s="1"/>
  <c r="G1110" i="5"/>
  <c r="F1110" i="5"/>
  <c r="F982" i="5"/>
  <c r="E971" i="5"/>
  <c r="X971" i="5" s="1"/>
  <c r="F836" i="5"/>
  <c r="I836" i="5"/>
  <c r="I1313" i="5"/>
  <c r="R2301" i="5"/>
  <c r="R2044" i="5"/>
  <c r="H1959" i="5"/>
  <c r="R1851" i="5"/>
  <c r="R1577" i="5"/>
  <c r="R1680" i="5"/>
  <c r="H1325" i="5"/>
  <c r="G982" i="5"/>
  <c r="H982" i="5"/>
  <c r="R836" i="5"/>
  <c r="G752" i="5"/>
  <c r="I2325" i="5"/>
  <c r="I1959" i="5"/>
  <c r="E1851" i="5"/>
  <c r="X1851" i="5" s="1"/>
  <c r="H1593" i="5"/>
  <c r="F1577" i="5"/>
  <c r="E1680" i="5"/>
  <c r="X1680" i="5" s="1"/>
  <c r="I982" i="5"/>
  <c r="H596" i="5"/>
  <c r="R2325" i="5"/>
  <c r="H2317" i="5"/>
  <c r="R1959" i="5"/>
  <c r="R1669" i="5"/>
  <c r="J1593" i="5"/>
  <c r="F1680" i="5"/>
  <c r="H1672" i="5"/>
  <c r="E1313" i="5"/>
  <c r="X1313" i="5" s="1"/>
  <c r="R982" i="5"/>
  <c r="E752" i="5"/>
  <c r="X752" i="5" s="1"/>
  <c r="H2325" i="5"/>
  <c r="G2317" i="5"/>
  <c r="J2165" i="5"/>
  <c r="E1959" i="5"/>
  <c r="X1959" i="5" s="1"/>
  <c r="R1697" i="5"/>
  <c r="R1593" i="5"/>
  <c r="G1593" i="5"/>
  <c r="I496" i="5"/>
  <c r="E189" i="5"/>
  <c r="X189" i="5" s="1"/>
  <c r="J215" i="5"/>
  <c r="C5" i="5"/>
  <c r="B6" i="5"/>
  <c r="B5" i="5"/>
  <c r="C6" i="5"/>
  <c r="B7" i="5"/>
  <c r="B8" i="5"/>
  <c r="C7" i="5"/>
  <c r="C10" i="6"/>
  <c r="C12" i="6"/>
  <c r="B32" i="6"/>
  <c r="C11" i="6"/>
  <c r="C9"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37" i="5" l="1"/>
  <c r="V37" i="5"/>
  <c r="G37" i="5" s="1"/>
  <c r="AB36" i="5"/>
  <c r="V36" i="5"/>
  <c r="G36" i="5" s="1"/>
  <c r="AB35" i="5"/>
  <c r="V35" i="5"/>
  <c r="G35" i="5" s="1"/>
  <c r="AB34" i="5"/>
  <c r="V34" i="5"/>
  <c r="G34" i="5" s="1"/>
  <c r="AB33" i="5"/>
  <c r="V33" i="5"/>
  <c r="G33" i="5" s="1"/>
  <c r="AB32" i="5"/>
  <c r="V32" i="5"/>
  <c r="G32" i="5" s="1"/>
  <c r="AB31" i="5"/>
  <c r="V31" i="5"/>
  <c r="G31" i="5" s="1"/>
  <c r="AB30" i="5"/>
  <c r="V30" i="5"/>
  <c r="G30" i="5" s="1"/>
  <c r="AB29" i="5"/>
  <c r="V29" i="5"/>
  <c r="G29" i="5" s="1"/>
  <c r="AB28" i="5"/>
  <c r="V28" i="5"/>
  <c r="G28" i="5" s="1"/>
  <c r="AB27" i="5"/>
  <c r="V27" i="5"/>
  <c r="G27" i="5" s="1"/>
  <c r="V26" i="5"/>
  <c r="G26" i="5" s="1"/>
  <c r="AB26" i="5"/>
  <c r="AB25" i="5"/>
  <c r="V25" i="5"/>
  <c r="G25" i="5" s="1"/>
  <c r="AB24" i="5"/>
  <c r="V24" i="5"/>
  <c r="G24" i="5" s="1"/>
  <c r="AB23" i="5"/>
  <c r="V23" i="5"/>
  <c r="G23" i="5" s="1"/>
  <c r="V22" i="5"/>
  <c r="G22" i="5" s="1"/>
  <c r="AB22" i="5"/>
  <c r="AB21" i="5"/>
  <c r="V21" i="5"/>
  <c r="G21" i="5" s="1"/>
  <c r="AB18" i="5"/>
  <c r="AB20" i="5"/>
  <c r="V20" i="5"/>
  <c r="G20" i="5" s="1"/>
  <c r="V19" i="5"/>
  <c r="G19" i="5" s="1"/>
  <c r="AB19" i="5"/>
  <c r="V18" i="5"/>
  <c r="G18" i="5" s="1"/>
  <c r="H44" i="6"/>
  <c r="D44" i="6" s="1"/>
  <c r="V6" i="5"/>
  <c r="G6" i="5" s="1"/>
  <c r="AB5" i="5"/>
  <c r="AB6" i="5"/>
  <c r="V5" i="5"/>
  <c r="G5" i="5" s="1"/>
  <c r="H41" i="6"/>
  <c r="D41" i="6" s="1"/>
  <c r="H26" i="6"/>
  <c r="D26" i="6" s="1"/>
  <c r="H35" i="6"/>
  <c r="D35" i="6" s="1"/>
  <c r="H29" i="6"/>
  <c r="D29" i="6" s="1"/>
  <c r="H39" i="6"/>
  <c r="D39" i="6" s="1"/>
  <c r="H46" i="6"/>
  <c r="D46" i="6" s="1"/>
  <c r="H31" i="6"/>
  <c r="C31" i="6" s="1"/>
  <c r="C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G68" i="6" s="1"/>
  <c r="H68" i="6" s="1"/>
  <c r="D68" i="6" s="1"/>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C26" i="6"/>
  <c r="D21" i="6"/>
  <c r="C21" i="6"/>
  <c r="C39" i="6"/>
  <c r="D22" i="6"/>
  <c r="C22" i="6"/>
  <c r="H47" i="6"/>
  <c r="D47" i="6" s="1"/>
  <c r="C52" i="6"/>
  <c r="C50" i="6"/>
  <c r="R37" i="5" l="1"/>
  <c r="E37" i="5"/>
  <c r="F37" i="5"/>
  <c r="I37" i="5"/>
  <c r="J37" i="5"/>
  <c r="H37" i="5"/>
  <c r="R36" i="5"/>
  <c r="J36" i="5"/>
  <c r="H36" i="5"/>
  <c r="F36" i="5"/>
  <c r="E36" i="5"/>
  <c r="I36" i="5"/>
  <c r="H35" i="5"/>
  <c r="E35" i="5"/>
  <c r="R35" i="5"/>
  <c r="J35" i="5"/>
  <c r="I35" i="5"/>
  <c r="F35" i="5"/>
  <c r="R34" i="5"/>
  <c r="J34" i="5"/>
  <c r="E34" i="5"/>
  <c r="H34" i="5"/>
  <c r="F34" i="5"/>
  <c r="I34" i="5"/>
  <c r="R33" i="5"/>
  <c r="I33" i="5"/>
  <c r="F33" i="5"/>
  <c r="H33" i="5"/>
  <c r="E33" i="5"/>
  <c r="J33" i="5"/>
  <c r="R32" i="5"/>
  <c r="E32" i="5"/>
  <c r="H32" i="5"/>
  <c r="I32" i="5"/>
  <c r="J32" i="5"/>
  <c r="F32" i="5"/>
  <c r="H31" i="5"/>
  <c r="J31" i="5"/>
  <c r="E31" i="5"/>
  <c r="I31" i="5"/>
  <c r="F31" i="5"/>
  <c r="R31" i="5"/>
  <c r="I30" i="5"/>
  <c r="J30" i="5"/>
  <c r="F30" i="5"/>
  <c r="R30" i="5"/>
  <c r="E30" i="5"/>
  <c r="H30" i="5"/>
  <c r="H29" i="5"/>
  <c r="J29" i="5"/>
  <c r="E29" i="5"/>
  <c r="F29" i="5"/>
  <c r="I29" i="5"/>
  <c r="R29" i="5"/>
  <c r="E28" i="5"/>
  <c r="H28" i="5"/>
  <c r="I28" i="5"/>
  <c r="J28" i="5"/>
  <c r="R28" i="5"/>
  <c r="F28" i="5"/>
  <c r="H27" i="5"/>
  <c r="E27" i="5"/>
  <c r="R27" i="5"/>
  <c r="F27" i="5"/>
  <c r="J27" i="5"/>
  <c r="I27" i="5"/>
  <c r="I26" i="5"/>
  <c r="E26" i="5"/>
  <c r="H26" i="5"/>
  <c r="J26" i="5"/>
  <c r="F26" i="5"/>
  <c r="R26" i="5"/>
  <c r="H25" i="5"/>
  <c r="F25" i="5"/>
  <c r="R25" i="5"/>
  <c r="J25" i="5"/>
  <c r="E25" i="5"/>
  <c r="I25" i="5"/>
  <c r="R24" i="5"/>
  <c r="H24" i="5"/>
  <c r="J24" i="5"/>
  <c r="F24" i="5"/>
  <c r="E24" i="5"/>
  <c r="I24" i="5"/>
  <c r="H23" i="5"/>
  <c r="R23" i="5"/>
  <c r="E23" i="5"/>
  <c r="I23" i="5"/>
  <c r="J23" i="5"/>
  <c r="F23" i="5"/>
  <c r="I22" i="5"/>
  <c r="R22" i="5"/>
  <c r="F22" i="5"/>
  <c r="J22" i="5"/>
  <c r="E22" i="5"/>
  <c r="H22" i="5"/>
  <c r="E21" i="5"/>
  <c r="I21" i="5"/>
  <c r="H21" i="5"/>
  <c r="J21" i="5"/>
  <c r="R21" i="5"/>
  <c r="F21" i="5"/>
  <c r="R20" i="5"/>
  <c r="E20" i="5"/>
  <c r="I20" i="5"/>
  <c r="H20" i="5"/>
  <c r="J20" i="5"/>
  <c r="F20" i="5"/>
  <c r="F19" i="5"/>
  <c r="E19" i="5"/>
  <c r="J19" i="5"/>
  <c r="H19" i="5"/>
  <c r="I19" i="5"/>
  <c r="R19" i="5"/>
  <c r="I18" i="5"/>
  <c r="F18" i="5"/>
  <c r="J18" i="5"/>
  <c r="E18" i="5"/>
  <c r="H18" i="5"/>
  <c r="R18" i="5"/>
  <c r="C44" i="6"/>
  <c r="J5" i="5"/>
  <c r="I5" i="5"/>
  <c r="F5" i="5"/>
  <c r="R5" i="5"/>
  <c r="E5" i="5"/>
  <c r="R6" i="5"/>
  <c r="F6" i="5"/>
  <c r="I6" i="5"/>
  <c r="J6" i="5"/>
  <c r="E6"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9" i="5"/>
  <c r="T26" i="5"/>
  <c r="T21" i="5"/>
  <c r="T28" i="5"/>
  <c r="T29" i="5"/>
  <c r="T11" i="5"/>
  <c r="T37" i="5"/>
  <c r="T27" i="5"/>
  <c r="T9" i="5"/>
  <c r="T20" i="5"/>
  <c r="T22" i="5"/>
  <c r="T15" i="5"/>
  <c r="T17" i="5"/>
  <c r="T25" i="5"/>
  <c r="T14" i="5"/>
  <c r="T35" i="5"/>
  <c r="T24" i="5"/>
  <c r="T10" i="5"/>
  <c r="T12" i="5"/>
  <c r="T36" i="5"/>
  <c r="T13" i="5"/>
  <c r="T5" i="5"/>
  <c r="T7" i="5"/>
  <c r="T16" i="5"/>
  <c r="T23" i="5"/>
  <c r="T31" i="5"/>
  <c r="T30" i="5"/>
  <c r="T34" i="5"/>
  <c r="T32" i="5"/>
  <c r="T33" i="5"/>
  <c r="T6" i="5"/>
  <c r="T18" i="5"/>
  <c r="T8" i="5"/>
  <c r="X37" i="5" l="1"/>
  <c r="X36" i="5"/>
  <c r="X35" i="5"/>
  <c r="X34" i="5"/>
  <c r="X33" i="5"/>
  <c r="X32" i="5"/>
  <c r="X31" i="5"/>
  <c r="X30" i="5"/>
  <c r="X29" i="5"/>
  <c r="X28" i="5"/>
  <c r="X27" i="5"/>
  <c r="X26" i="5"/>
  <c r="X25" i="5"/>
  <c r="X24" i="5"/>
  <c r="X23" i="5"/>
  <c r="X22" i="5"/>
  <c r="X21" i="5"/>
  <c r="X20" i="5"/>
  <c r="X19" i="5"/>
  <c r="X18" i="5"/>
  <c r="X6" i="5"/>
  <c r="X5" i="5"/>
  <c r="X13" i="5"/>
  <c r="X10" i="5"/>
  <c r="D65" i="6"/>
  <c r="X9" i="5"/>
  <c r="X12" i="5"/>
  <c r="X14" i="5"/>
  <c r="X17" i="5"/>
  <c r="D66" i="6"/>
  <c r="C67" i="6"/>
  <c r="X11" i="5"/>
  <c r="X15" i="5"/>
  <c r="X8" i="5"/>
  <c r="X7" i="5"/>
  <c r="G69" i="6"/>
  <c r="H69" i="6" s="1"/>
  <c r="H70" i="6" s="1"/>
  <c r="D2" i="6" s="1"/>
  <c r="X16" i="5"/>
  <c r="D55" i="6"/>
  <c r="C55" i="6"/>
  <c r="D56" i="6"/>
  <c r="C56" i="6"/>
  <c r="S22" i="5"/>
  <c r="S27" i="5"/>
  <c r="S34" i="5"/>
  <c r="S18" i="5"/>
  <c r="S37" i="5"/>
  <c r="S19" i="5"/>
  <c r="S11" i="5"/>
  <c r="S20" i="5"/>
  <c r="S13" i="5"/>
  <c r="S10" i="5"/>
  <c r="S6" i="5"/>
  <c r="S7" i="5"/>
  <c r="S25" i="5"/>
  <c r="S23" i="5"/>
  <c r="S30" i="5"/>
  <c r="S24" i="5"/>
  <c r="S33" i="5"/>
  <c r="S8" i="5"/>
  <c r="S36" i="5"/>
  <c r="S9" i="5"/>
  <c r="S35" i="5"/>
  <c r="S14" i="5"/>
  <c r="S26" i="5"/>
  <c r="S5" i="5"/>
  <c r="S29" i="5"/>
  <c r="S16" i="5"/>
  <c r="S32" i="5"/>
  <c r="S17" i="5"/>
  <c r="S31" i="5"/>
  <c r="S12" i="5"/>
  <c r="S21" i="5"/>
  <c r="S28"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<sst xmlns="http://schemas.openxmlformats.org/spreadsheetml/2006/main" count="21884" uniqueCount="15530">
  <si>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</si>
  <si>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</si>
  <si>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</si>
  <si>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</si>
  <si>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</si>
  <si>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</si>
  <si>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</si>
  <si>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</si>
  <si>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</si>
  <si>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</si>
  <si>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</si>
  <si>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</si>
  <si>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</si>
  <si>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</si>
  <si>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</si>
  <si>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</si>
  <si>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</si>
  <si>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</si>
  <si>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</si>
  <si>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</si>
  <si>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</si>
  <si>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</si>
  <si>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</si>
  <si>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</si>
  <si>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</si>
  <si>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</si>
  <si>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</si>
  <si>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</si>
  <si>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</si>
  <si>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</si>
  <si>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</si>
  <si>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</si>
  <si>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</si>
  <si>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</si>
  <si>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</si>
  <si>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</si>
  <si>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</si>
  <si>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</si>
  <si>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</si>
  <si>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</si>
  <si>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</si>
  <si>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</si>
  <si>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</si>
  <si>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</si>
  <si>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</si>
  <si>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</si>
  <si>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</si>
  <si>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</si>
  <si>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</si>
  <si>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</si>
  <si>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</si>
  <si>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</si>
  <si>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</si>
  <si>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</si>
  <si>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</si>
  <si>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</si>
  <si>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</si>
  <si>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</si>
  <si>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</si>
  <si>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</si>
  <si>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</si>
  <si>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</si>
  <si>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</si>
  <si>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</si>
  <si>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</si>
  <si>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</si>
  <si>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</si>
  <si>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</si>
  <si>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</si>
  <si>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</si>
  <si>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</si>
  <si>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</si>
  <si>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</si>
  <si>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</si>
  <si>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</si>
  <si>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</si>
  <si>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</si>
  <si>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</si>
  <si>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</si>
  <si>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</si>
  <si>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</si>
  <si>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</si>
  <si>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</si>
  <si>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</si>
  <si>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</si>
  <si>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</si>
  <si>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</si>
  <si>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</si>
  <si>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</si>
  <si>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</si>
  <si>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</si>
  <si>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</si>
  <si>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</si>
  <si>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</si>
  <si>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</si>
  <si>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</si>
  <si>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</si>
  <si>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</si>
  <si>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</si>
  <si>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</si>
  <si>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</si>
  <si>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</si>
  <si>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</si>
  <si>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</si>
  <si>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</si>
  <si>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</si>
  <si>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</si>
  <si>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</si>
  <si>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</si>
  <si>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</si>
  <si>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</si>
  <si>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</si>
  <si>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</si>
  <si>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</si>
  <si>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</si>
  <si>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</si>
  <si>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</si>
  <si>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</si>
  <si>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</si>
  <si>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</si>
  <si>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</si>
  <si>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</si>
  <si>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</si>
  <si>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</si>
  <si>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</si>
  <si>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</si>
  <si>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</si>
  <si>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</si>
  <si>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</si>
  <si>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</si>
  <si>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</si>
  <si>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</si>
  <si>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</si>
  <si>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</si>
  <si>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</si>
  <si>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</si>
  <si>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</si>
  <si>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</si>
  <si>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</si>
  <si>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</si>
  <si>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</si>
  <si>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</si>
  <si>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</si>
  <si>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</si>
  <si>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</si>
  <si>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</si>
  <si>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</si>
  <si>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</si>
  <si>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</si>
  <si>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</si>
  <si>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</si>
  <si>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</si>
  <si>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</si>
  <si>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</si>
  <si>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</si>
  <si>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</si>
  <si>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</si>
  <si>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</si>
  <si>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</si>
  <si>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</si>
  <si>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</si>
  <si>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</si>
  <si>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</si>
  <si>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</si>
  <si>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</si>
  <si>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</si>
  <si>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</si>
  <si>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</si>
  <si>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</si>
  <si>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</si>
  <si>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</si>
  <si>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</si>
  <si>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</si>
  <si>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</si>
  <si>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</si>
  <si>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</si>
  <si>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</si>
  <si>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</si>
  <si>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</si>
  <si>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</si>
  <si>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</si>
  <si>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</si>
  <si>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</si>
  <si>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</si>
  <si>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</si>
  <si>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</si>
  <si>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</si>
  <si>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</si>
  <si>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</si>
  <si>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</si>
  <si>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</si>
  <si>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</si>
  <si>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</si>
  <si>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</si>
  <si>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</si>
  <si>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</si>
  <si>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</si>
  <si>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</si>
  <si>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</si>
  <si>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</si>
  <si>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</si>
  <si>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</si>
  <si>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</si>
  <si>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</si>
  <si>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</si>
  <si>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</si>
  <si>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</si>
  <si>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</si>
  <si>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</si>
  <si>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</si>
  <si>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</si>
  <si>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</si>
  <si>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</si>
  <si>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</si>
  <si>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</si>
  <si>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</si>
  <si>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</si>
  <si>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</si>
  <si>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</si>
  <si>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</si>
  <si>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</si>
  <si>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</si>
  <si>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</si>
  <si>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</si>
  <si>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</si>
  <si>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</si>
  <si>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</si>
  <si>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</si>
  <si>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</si>
  <si>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</si>
  <si>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</si>
  <si>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</si>
  <si>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</si>
  <si>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</si>
  <si>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</si>
  <si>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</si>
  <si>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</si>
  <si>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</si>
  <si>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</si>
  <si>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</si>
  <si>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</si>
  <si>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</si>
  <si>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</si>
  <si>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</si>
  <si>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</si>
  <si>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</si>
  <si>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</si>
  <si>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</si>
  <si>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</si>
  <si>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</si>
  <si>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</si>
  <si>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</si>
  <si>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</si>
  <si>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</si>
  <si>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</si>
  <si>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</si>
  <si>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</si>
  <si>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</si>
  <si>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</si>
  <si>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</si>
  <si>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</si>
  <si>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</si>
  <si>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</si>
  <si>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</si>
  <si>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</si>
  <si>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</si>
  <si>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</si>
  <si>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</si>
  <si>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</si>
  <si>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</si>
  <si>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</si>
  <si>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</si>
  <si>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</si>
  <si>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</si>
  <si>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</si>
  <si>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</si>
  <si>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</si>
  <si>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</si>
  <si>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</si>
  <si>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</si>
  <si>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</si>
  <si>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</si>
  <si>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</si>
  <si>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</si>
  <si>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</si>
  <si>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</si>
  <si>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</si>
  <si>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</si>
  <si>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</si>
  <si>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</si>
  <si>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</si>
  <si>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</si>
  <si>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</si>
  <si>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</si>
  <si>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</si>
  <si>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</si>
  <si>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</si>
  <si>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</si>
  <si>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</si>
  <si>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</si>
  <si>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</si>
  <si>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</si>
  <si>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</si>
  <si>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</si>
  <si>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</si>
  <si>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</si>
  <si>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</si>
  <si>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</si>
  <si>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</si>
  <si>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</si>
  <si>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</si>
  <si>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</si>
  <si>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</si>
  <si>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</si>
  <si>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</si>
  <si>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</si>
  <si>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</si>
  <si>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</si>
  <si>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</si>
  <si>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</si>
  <si>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</si>
  <si>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</si>
  <si>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</si>
  <si>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</si>
  <si>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</si>
  <si>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</si>
  <si>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</si>
  <si>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</si>
  <si>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</si>
  <si>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</si>
  <si>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</si>
  <si>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</si>
  <si>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</si>
  <si>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</si>
  <si>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</si>
  <si>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</si>
  <si>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</si>
  <si>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</si>
  <si>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</si>
  <si>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</si>
  <si>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</si>
  <si>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</si>
  <si>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</si>
  <si>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</si>
  <si>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</si>
  <si>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</si>
  <si>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</si>
  <si>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</si>
  <si>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</si>
  <si>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</si>
  <si>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</si>
  <si>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</si>
  <si>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</si>
  <si>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</si>
  <si>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</si>
  <si>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</si>
  <si>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</si>
  <si>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</si>
  <si>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</si>
  <si>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</si>
  <si>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</si>
  <si>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</si>
  <si>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</si>
  <si>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</si>
  <si>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</si>
  <si>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</si>
  <si>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</si>
  <si>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</si>
  <si>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</si>
  <si>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</si>
  <si>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</si>
  <si>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</si>
  <si>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</si>
  <si>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</si>
  <si>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</si>
  <si>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</si>
  <si>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</si>
  <si>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</si>
  <si>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</si>
  <si>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</si>
  <si>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</si>
  <si>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</si>
  <si>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</si>
  <si>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</si>
  <si>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</si>
  <si>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</si>
  <si>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</si>
  <si>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</si>
  <si>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</si>
  <si>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</si>
  <si>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</si>
  <si>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</si>
  <si>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</si>
  <si>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</si>
  <si>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</si>
  <si>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</si>
  <si>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</si>
  <si>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</si>
  <si>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</si>
  <si>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</si>
  <si>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</si>
  <si>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</si>
  <si>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</si>
  <si>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</si>
  <si>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</si>
  <si>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</si>
  <si>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</si>
  <si>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</si>
  <si>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</si>
  <si>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</si>
  <si>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</si>
  <si>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</si>
  <si>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</si>
  <si>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</si>
  <si>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</si>
  <si>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</si>
  <si>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</si>
  <si>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</si>
  <si>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</si>
  <si>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</si>
  <si>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</si>
  <si>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</si>
  <si>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</si>
  <si>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</si>
  <si>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</si>
  <si>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</si>
  <si>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</si>
  <si>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</si>
  <si>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</si>
  <si>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</si>
  <si>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</si>
  <si>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</si>
  <si>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</si>
  <si>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</si>
  <si>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</si>
  <si>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</si>
  <si>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</si>
  <si>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</si>
  <si>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</si>
  <si>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</si>
  <si>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</si>
  <si>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</si>
  <si>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</si>
  <si>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</si>
  <si>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</si>
  <si>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</si>
  <si>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</si>
  <si>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</si>
  <si>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</si>
  <si>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</si>
  <si>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</si>
  <si>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</si>
  <si>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</si>
  <si>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</si>
  <si>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</si>
  <si>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</si>
  <si>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</si>
  <si>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</si>
  <si>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</si>
  <si>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</si>
  <si>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</si>
  <si>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</si>
  <si>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</si>
  <si>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</si>
  <si>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</si>
  <si>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</si>
  <si>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</si>
  <si>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</si>
  <si>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</si>
  <si>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</si>
  <si>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</si>
  <si>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</si>
  <si>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</si>
  <si>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</si>
  <si>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</si>
  <si>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</si>
  <si>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</si>
  <si>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</si>
  <si>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</si>
  <si>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</si>
  <si>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</si>
  <si>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</si>
  <si>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</si>
  <si>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</si>
  <si>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</si>
  <si>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</si>
  <si>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</si>
  <si>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</si>
  <si>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</si>
  <si>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</si>
  <si>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</si>
  <si>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</si>
  <si>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</si>
  <si>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</si>
  <si>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</si>
  <si>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</si>
  <si>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</si>
  <si>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</si>
  <si>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</si>
  <si>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</si>
  <si>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</si>
  <si>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</si>
  <si>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</si>
  <si>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</si>
  <si>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</si>
  <si>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</si>
  <si>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</si>
  <si>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</si>
  <si>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</si>
  <si>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</si>
  <si>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</si>
  <si>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</si>
  <si>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</si>
  <si>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</si>
  <si>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</si>
  <si>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</si>
  <si>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</si>
  <si>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</si>
  <si>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</si>
  <si>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</si>
  <si>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</si>
  <si>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</si>
  <si>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</si>
  <si>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</si>
  <si>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</si>
  <si>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</si>
  <si>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</si>
  <si>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</si>
  <si>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</si>
  <si>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</si>
  <si>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</si>
  <si>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</si>
  <si>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</si>
  <si>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</si>
  <si>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</si>
  <si>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</si>
  <si>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</si>
  <si>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</si>
  <si>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</si>
  <si>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</si>
  <si>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</si>
  <si>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</si>
  <si>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</si>
  <si>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</si>
  <si>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</si>
  <si>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</si>
  <si>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</si>
  <si>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</si>
  <si>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</si>
  <si>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</si>
  <si>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</si>
  <si>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</si>
  <si>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</si>
  <si>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</si>
  <si>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</si>
  <si>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</si>
  <si>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</si>
  <si>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</si>
  <si>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</si>
  <si>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</si>
  <si>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</si>
  <si>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</si>
  <si>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</si>
  <si>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</si>
  <si>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</si>
  <si>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</si>
  <si>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</si>
  <si>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</si>
  <si>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</si>
  <si>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</si>
  <si>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</si>
  <si>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</si>
  <si>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</si>
  <si>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</si>
  <si>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</si>
  <si>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</si>
  <si>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</si>
  <si>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</si>
  <si>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</si>
  <si>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</si>
  <si>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</si>
  <si>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</si>
  <si>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</si>
  <si>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</si>
  <si>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</si>
  <si>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</si>
  <si>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</si>
  <si>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</si>
  <si>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</si>
  <si>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</si>
  <si>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</si>
  <si>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</si>
  <si>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</si>
  <si>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</si>
  <si>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</si>
  <si>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</si>
  <si>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</si>
  <si>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</si>
  <si>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</si>
  <si>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</si>
  <si>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</si>
  <si>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</si>
  <si>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</si>
  <si>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</si>
  <si>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</si>
  <si>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</si>
  <si>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</si>
  <si>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</si>
  <si>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</si>
  <si>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</si>
  <si>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</si>
  <si>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</si>
  <si>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</si>
  <si>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</si>
  <si>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</si>
  <si>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</si>
  <si>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</si>
  <si>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</si>
  <si>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</si>
  <si>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</si>
  <si>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</si>
  <si>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</si>
  <si>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</si>
  <si>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</si>
  <si>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</si>
  <si>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</si>
  <si>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</si>
  <si>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</si>
  <si>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</si>
  <si>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</si>
  <si>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</si>
  <si>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</si>
  <si>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</si>
  <si>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</si>
  <si>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</si>
  <si>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</si>
  <si>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</si>
  <si>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</si>
  <si>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</si>
  <si>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</si>
  <si>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</si>
  <si>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</si>
  <si>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</si>
  <si>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</si>
  <si>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</si>
  <si>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</si>
  <si>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</si>
  <si>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</si>
  <si>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</si>
  <si>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</si>
  <si>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</si>
  <si>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</si>
  <si>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</si>
  <si>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</si>
  <si>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</si>
  <si>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</si>
  <si>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</si>
  <si>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</si>
  <si>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</si>
  <si>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</si>
  <si>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</si>
  <si>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</si>
  <si>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</si>
  <si>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</si>
  <si>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</si>
  <si>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</si>
  <si>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</si>
  <si>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</si>
  <si>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</si>
  <si>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</si>
  <si>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</si>
  <si>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</si>
  <si>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</si>
  <si>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</si>
  <si>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</si>
  <si>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</si>
  <si>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</si>
  <si>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</si>
  <si>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</si>
  <si>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</si>
  <si>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</si>
  <si>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</si>
  <si>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</si>
  <si>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</si>
  <si>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</si>
  <si>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</si>
  <si>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</si>
  <si>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</si>
  <si>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</si>
  <si>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</si>
  <si>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</si>
  <si>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</si>
  <si>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</si>
  <si>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</si>
  <si>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</si>
  <si>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</si>
  <si>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</si>
  <si>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</si>
  <si>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</si>
  <si>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</si>
  <si>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</si>
  <si>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</si>
  <si>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</si>
  <si>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</si>
  <si>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</si>
  <si>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</si>
  <si>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</si>
  <si>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</si>
  <si>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</si>
  <si>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</si>
  <si>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</si>
  <si>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</si>
  <si>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</si>
  <si>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</si>
  <si>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</si>
  <si>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</si>
  <si>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</si>
  <si>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</si>
  <si>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</si>
  <si>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</si>
  <si>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</si>
  <si>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</si>
  <si>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</si>
  <si>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</si>
  <si>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</si>
  <si>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</si>
  <si>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</si>
  <si>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</si>
  <si>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</si>
  <si>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</si>
  <si>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</si>
  <si>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</si>
  <si>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</si>
  <si>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</si>
  <si>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</si>
  <si>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</si>
  <si>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</si>
  <si>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</si>
  <si>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</si>
  <si>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</si>
  <si>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</si>
  <si>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</si>
  <si>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</si>
  <si>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</si>
  <si>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</si>
  <si>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</si>
  <si>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</si>
  <si>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</si>
  <si>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</si>
  <si>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</si>
  <si>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</si>
  <si>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</si>
  <si>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</si>
  <si>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</si>
  <si>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</si>
  <si>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</si>
  <si>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</si>
  <si>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</si>
  <si>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</si>
  <si>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</si>
  <si>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</si>
  <si>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</si>
  <si>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</si>
  <si>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</si>
  <si>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</si>
  <si>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</si>
  <si>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</si>
  <si>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</si>
  <si>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</si>
  <si>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</si>
  <si>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</si>
  <si>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</si>
  <si>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</si>
  <si>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</si>
  <si>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</si>
  <si>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</si>
  <si>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</si>
  <si>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</si>
  <si>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</si>
  <si>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</si>
  <si>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</si>
  <si>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</si>
  <si>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</si>
  <si>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</si>
  <si>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</si>
  <si>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</si>
  <si>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</si>
  <si>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</si>
  <si>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</si>
  <si>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</si>
  <si>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</si>
  <si>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</si>
  <si>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</si>
  <si>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</si>
  <si>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</si>
  <si>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</si>
  <si>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</si>
  <si>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</si>
  <si>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</si>
  <si>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</si>
  <si>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</si>
  <si>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</si>
  <si>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</si>
  <si>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</si>
  <si>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</si>
  <si>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</si>
  <si>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</si>
  <si>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</si>
  <si>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</si>
  <si>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</si>
  <si>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</si>
  <si>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</si>
  <si>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</si>
  <si>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</si>
  <si>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</si>
  <si>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</si>
  <si>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</si>
  <si>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</si>
  <si>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</si>
  <si>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</si>
  <si>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</si>
  <si>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</si>
  <si>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</si>
  <si>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</si>
  <si>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</si>
  <si>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</si>
  <si>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</si>
  <si>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</si>
  <si>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</si>
  <si>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</si>
  <si>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</si>
  <si>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</si>
  <si>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</si>
  <si>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</si>
  <si>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</si>
  <si>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</si>
  <si>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</si>
  <si>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</si>
  <si>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</si>
  <si>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</si>
  <si>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</si>
  <si>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</si>
  <si>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</si>
  <si>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</si>
  <si>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</si>
  <si>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</si>
  <si>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</si>
  <si>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</si>
  <si>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</si>
  <si>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</si>
  <si>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</si>
  <si>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</si>
  <si>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</si>
  <si>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</si>
  <si>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</si>
  <si>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</si>
  <si>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</si>
  <si>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</si>
  <si>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</si>
  <si>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</si>
  <si>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</si>
  <si>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</si>
  <si>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</si>
  <si>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</si>
  <si>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</si>
  <si>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</si>
  <si>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</si>
  <si>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</si>
  <si>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</si>
  <si>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</si>
  <si>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</si>
  <si>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</si>
  <si>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</si>
  <si>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</si>
  <si>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</si>
  <si>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</si>
  <si>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</si>
  <si>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</si>
  <si>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</si>
  <si>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</si>
  <si>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</si>
  <si>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</si>
  <si>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</si>
  <si>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</si>
  <si>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</si>
  <si>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</si>
  <si>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</si>
  <si>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</si>
  <si>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</si>
  <si>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</si>
  <si>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</si>
  <si>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</si>
  <si>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</si>
  <si>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</si>
  <si>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</si>
  <si>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</si>
  <si>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</si>
  <si>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</si>
  <si>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</si>
  <si>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</si>
  <si>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</si>
  <si>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</si>
  <si>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</si>
  <si>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</si>
  <si>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</si>
  <si>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</si>
  <si>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</si>
  <si>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</si>
  <si>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</si>
  <si>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</si>
  <si>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</si>
  <si>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</si>
  <si>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</si>
  <si>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</si>
  <si>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</si>
  <si>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</si>
  <si>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</si>
  <si>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</si>
  <si>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</si>
  <si>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</si>
  <si>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</si>
  <si>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</si>
  <si>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</si>
  <si>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</si>
  <si>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</si>
  <si>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</si>
  <si>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</si>
  <si>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</si>
  <si>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</si>
  <si>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</si>
  <si>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</si>
  <si>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</si>
  <si>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</si>
  <si>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</si>
  <si>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</si>
  <si>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</si>
  <si>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</si>
  <si>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</si>
  <si>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</si>
  <si>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</si>
  <si>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</si>
  <si>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</si>
  <si>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</si>
  <si>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</si>
  <si>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</si>
  <si>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</si>
  <si>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</si>
  <si>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</si>
  <si>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</si>
  <si>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</si>
  <si>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</si>
  <si>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</si>
  <si>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</si>
  <si>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</si>
  <si>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</si>
  <si>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</si>
  <si>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</si>
  <si>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</si>
  <si>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</si>
  <si>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</si>
  <si>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</si>
  <si>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</si>
  <si>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</si>
  <si>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</si>
  <si>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</si>
  <si>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</si>
  <si>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</si>
  <si>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</si>
  <si>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</si>
  <si>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</si>
  <si>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</si>
  <si>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</si>
  <si>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</si>
  <si>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</si>
  <si>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</si>
  <si>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</si>
  <si>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</si>
  <si>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</si>
  <si>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</si>
  <si>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</si>
  <si>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</si>
  <si>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</si>
  <si>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</si>
  <si>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</si>
  <si>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</si>
  <si>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</si>
  <si>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</si>
  <si>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</si>
  <si>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</si>
  <si>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</si>
  <si>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</si>
  <si>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</si>
  <si>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</si>
  <si>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</si>
  <si>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</si>
  <si>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</si>
  <si>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</si>
  <si>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</si>
  <si>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</si>
  <si>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</si>
  <si>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</si>
  <si>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</si>
  <si>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</si>
  <si>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</si>
  <si>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</si>
  <si>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</si>
  <si>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</si>
  <si>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</si>
  <si>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</si>
  <si>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</si>
  <si>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</si>
  <si>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</si>
  <si>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</si>
  <si>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</si>
  <si>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</si>
  <si>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</si>
  <si>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</si>
  <si>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</si>
  <si>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</si>
  <si>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</si>
  <si>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</si>
  <si>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</si>
  <si>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</si>
  <si>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</si>
  <si>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</si>
  <si>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</si>
  <si>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</si>
  <si>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</si>
  <si>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</si>
  <si>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</si>
  <si>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</si>
  <si>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</si>
  <si>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</si>
  <si>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</si>
  <si>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</si>
  <si>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</si>
  <si>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</si>
  <si>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</si>
  <si>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</si>
  <si>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</si>
  <si>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</si>
  <si>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</si>
  <si>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</si>
  <si>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</si>
  <si>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</si>
  <si>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</si>
  <si>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</si>
  <si>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</si>
  <si>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</si>
  <si>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</si>
  <si>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</si>
  <si>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</si>
  <si>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</si>
  <si>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</si>
  <si>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</si>
  <si>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</si>
  <si>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</si>
  <si>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</si>
  <si>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</si>
  <si>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</si>
  <si>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</si>
  <si>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</si>
  <si>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</si>
  <si>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</si>
  <si>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</si>
  <si>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</si>
  <si>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</si>
  <si>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</si>
  <si>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</si>
  <si>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</si>
  <si>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</si>
  <si>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</si>
  <si>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</si>
  <si>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</si>
  <si>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</si>
  <si>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</si>
  <si>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</si>
  <si>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</si>
  <si>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</si>
  <si>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</si>
  <si>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</si>
  <si>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</si>
  <si>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</si>
  <si>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</si>
  <si>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</si>
  <si>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</si>
  <si>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</si>
  <si>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</si>
  <si>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</si>
  <si>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</si>
  <si>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</si>
  <si>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</si>
  <si>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</si>
  <si>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</si>
  <si>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</si>
  <si>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</si>
  <si>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</si>
  <si>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</si>
  <si>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</si>
  <si>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</si>
  <si>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</si>
  <si>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</si>
  <si>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</si>
  <si>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</si>
  <si>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</si>
  <si>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</si>
  <si>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</si>
  <si>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</si>
  <si>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</si>
  <si>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</si>
  <si>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</si>
  <si>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</si>
  <si>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</si>
  <si>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</si>
  <si>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</si>
  <si>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</si>
  <si>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</si>
  <si>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</si>
  <si>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</si>
  <si>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</si>
  <si>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</si>
  <si>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</si>
  <si>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</si>
  <si>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</si>
  <si>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</si>
  <si>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</si>
  <si>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</si>
  <si>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</si>
  <si>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</si>
  <si>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</si>
  <si>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</si>
  <si>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</si>
  <si>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</si>
  <si>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</si>
  <si>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</si>
  <si>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</si>
  <si>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</si>
  <si>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</si>
  <si>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</si>
  <si>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</si>
  <si>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</si>
  <si>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</si>
  <si>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</si>
  <si>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</si>
  <si>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</si>
  <si>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</si>
  <si>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</si>
  <si>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</si>
  <si>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</si>
  <si>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</si>
  <si>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</si>
  <si>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</si>
  <si>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</si>
  <si>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</si>
  <si>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</si>
  <si>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</si>
  <si>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</si>
  <si>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</si>
  <si>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</si>
  <si>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</si>
  <si>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</si>
  <si>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</si>
  <si>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</si>
  <si>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</si>
  <si>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</si>
  <si>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</si>
  <si>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</si>
  <si>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</si>
  <si>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</si>
  <si>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</si>
  <si>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</si>
  <si>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</si>
  <si>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</si>
  <si>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</si>
  <si>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</si>
  <si>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</si>
  <si>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</si>
  <si>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</si>
  <si>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</si>
  <si>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</si>
  <si>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</si>
  <si>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</si>
  <si>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</si>
  <si>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</si>
  <si>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</si>
  <si>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</si>
  <si>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</si>
  <si>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</si>
  <si>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</si>
  <si>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</si>
  <si>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</si>
  <si>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</si>
  <si>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</si>
  <si>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</si>
  <si>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</si>
  <si>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</si>
  <si>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</si>
  <si>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</si>
  <si>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</si>
  <si>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</si>
  <si>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</si>
  <si>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</si>
  <si>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</si>
  <si>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</si>
  <si>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</si>
  <si>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</si>
  <si>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</si>
  <si>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</si>
  <si>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</si>
  <si>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</si>
  <si>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</si>
  <si>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</si>
  <si>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</si>
  <si>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</si>
  <si>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</si>
  <si>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</si>
  <si>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</si>
  <si>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</si>
  <si>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</si>
  <si>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</si>
  <si>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</si>
  <si>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</si>
  <si>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</si>
  <si>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</si>
  <si>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</si>
  <si>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</si>
  <si>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</si>
  <si>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</si>
  <si>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</si>
  <si>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</si>
  <si>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</si>
  <si>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</si>
  <si>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</si>
  <si>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</si>
  <si>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</si>
  <si>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</si>
  <si>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</si>
  <si>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</si>
  <si>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</si>
  <si>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</si>
  <si>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</si>
  <si>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</si>
  <si>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</si>
  <si>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</si>
  <si>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</si>
  <si>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</si>
  <si>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</si>
  <si>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</si>
  <si>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</si>
  <si>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</si>
  <si>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</si>
  <si>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</si>
  <si>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</si>
  <si>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</si>
  <si>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</si>
  <si>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</si>
  <si>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</si>
  <si>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</si>
  <si>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</si>
  <si>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</si>
  <si>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</si>
  <si>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</si>
  <si>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</si>
  <si>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</si>
  <si>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</si>
  <si>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</si>
  <si>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</si>
  <si>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</si>
  <si>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</si>
  <si>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</si>
  <si>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</si>
  <si>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</si>
  <si>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</si>
  <si>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</si>
  <si>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</si>
  <si>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</si>
  <si>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</si>
  <si>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</si>
  <si>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</si>
  <si>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</si>
  <si>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</si>
  <si>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</si>
  <si>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</si>
  <si>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</si>
  <si>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</si>
  <si>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</si>
  <si>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</si>
  <si>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</si>
  <si>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</si>
  <si>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</si>
  <si>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</si>
  <si>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</si>
  <si>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</si>
  <si>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</si>
  <si>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</si>
  <si>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</si>
  <si>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</si>
  <si>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</si>
  <si>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</si>
  <si>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</si>
  <si>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</si>
  <si>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</si>
  <si>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</si>
  <si>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</si>
  <si>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</si>
  <si>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</si>
  <si>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</si>
  <si>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</si>
  <si>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</si>
  <si>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</si>
  <si>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</si>
  <si>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</si>
  <si>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</si>
  <si>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</si>
  <si>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</si>
  <si>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</si>
  <si>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</si>
  <si>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</si>
  <si>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</si>
  <si>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</si>
  <si>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</si>
  <si>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</si>
  <si>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</si>
  <si>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</si>
  <si>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</si>
  <si>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</si>
  <si>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</si>
  <si>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</si>
  <si>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</si>
  <si>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</si>
  <si>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</si>
  <si>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</si>
  <si>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</si>
  <si>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</si>
  <si>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</si>
  <si>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</si>
  <si>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</si>
  <si>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</si>
  <si>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</si>
  <si>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</si>
  <si>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</si>
  <si>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</si>
  <si>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</si>
  <si>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</si>
  <si>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</si>
  <si>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</si>
  <si>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</si>
  <si>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</si>
  <si>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</si>
  <si>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</si>
  <si>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</si>
  <si>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</si>
  <si>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</si>
  <si>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</si>
  <si>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</si>
  <si>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</si>
  <si>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</si>
  <si>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</si>
  <si>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</si>
  <si>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</si>
  <si>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</si>
  <si>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</si>
  <si>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</si>
  <si>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</si>
  <si>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</si>
  <si>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</si>
  <si>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</si>
  <si>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</si>
  <si>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</si>
  <si>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</si>
  <si>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</si>
  <si>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</si>
  <si>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</si>
  <si>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</si>
  <si>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</si>
  <si>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</si>
  <si>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</si>
  <si>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</si>
  <si>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</si>
  <si>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</si>
  <si>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</si>
  <si>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</si>
  <si>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</si>
  <si>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</si>
  <si>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</si>
  <si>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</si>
  <si>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</si>
  <si>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</si>
  <si>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</si>
  <si>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</si>
  <si>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</si>
  <si>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</si>
  <si>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</si>
  <si>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</si>
  <si>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</si>
  <si>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</si>
  <si>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</si>
  <si>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</si>
  <si>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</si>
  <si>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</si>
  <si>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</si>
  <si>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</si>
  <si>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</si>
  <si>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</si>
  <si>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</si>
  <si>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</si>
  <si>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</si>
  <si>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</si>
  <si>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</si>
  <si>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</si>
  <si>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</si>
  <si>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</si>
  <si>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</si>
  <si>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</si>
  <si>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</si>
  <si>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</si>
  <si>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</si>
  <si>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</si>
  <si>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</si>
  <si>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</si>
  <si>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</si>
  <si>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</si>
  <si>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</si>
  <si>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</si>
  <si>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</si>
  <si>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</si>
  <si>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</si>
  <si>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</si>
  <si>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</si>
  <si>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</si>
  <si>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</si>
  <si>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</si>
  <si>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</si>
  <si>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</si>
  <si>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</si>
  <si>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</si>
  <si>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</si>
  <si>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</si>
  <si>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</si>
  <si>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</si>
  <si>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</si>
  <si>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</si>
  <si>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</si>
  <si>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</si>
  <si>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</si>
  <si>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</si>
  <si>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</si>
  <si>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</si>
  <si>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</si>
  <si>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</si>
  <si>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</si>
  <si>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</si>
  <si>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</si>
  <si>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</si>
  <si>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</si>
  <si>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</si>
  <si>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</si>
  <si>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</si>
  <si>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</si>
  <si>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</si>
  <si>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</si>
  <si>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</si>
  <si>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</si>
  <si>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</si>
  <si>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</si>
  <si>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</si>
  <si>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</si>
  <si>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</si>
  <si>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</si>
  <si>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</si>
  <si>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</si>
  <si>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</si>
  <si>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</si>
  <si>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</si>
  <si>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</si>
  <si>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</si>
  <si>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</si>
  <si>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</si>
  <si>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</si>
  <si>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</si>
  <si>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</si>
  <si>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</si>
  <si>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</si>
  <si>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</si>
  <si>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</si>
  <si>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</si>
  <si>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</si>
  <si>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</si>
  <si>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</si>
  <si>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</si>
  <si>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</si>
  <si>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</si>
  <si>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</si>
  <si>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</si>
  <si>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</si>
  <si>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</si>
  <si>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</si>
  <si>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</si>
  <si>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</si>
  <si>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</si>
  <si>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</si>
  <si>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</si>
  <si>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</si>
  <si>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</si>
  <si>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</si>
  <si>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</si>
  <si>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</si>
  <si>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</si>
  <si>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</si>
  <si>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</si>
  <si>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</si>
  <si>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</si>
  <si>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</si>
  <si>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</si>
  <si>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</si>
  <si>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</si>
  <si>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</si>
  <si>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</si>
  <si>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</si>
  <si>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</si>
  <si>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</si>
  <si>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</si>
  <si>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</si>
  <si>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</si>
  <si>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</si>
  <si>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</si>
  <si>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</si>
  <si>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</si>
  <si>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</si>
  <si>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</si>
  <si>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</si>
  <si>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</si>
  <si>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</si>
  <si>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</si>
  <si>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</si>
  <si>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</si>
  <si>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</si>
  <si>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</si>
  <si>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</si>
  <si>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</si>
  <si>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</si>
  <si>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</si>
  <si>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</si>
  <si>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</si>
  <si>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</si>
  <si>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</si>
  <si>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</si>
  <si>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</si>
  <si>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</si>
  <si>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</si>
  <si>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</si>
  <si>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</si>
  <si>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</si>
  <si>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</si>
  <si>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</si>
  <si>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</si>
  <si>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</si>
  <si>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</si>
  <si>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</si>
  <si>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</si>
  <si>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</si>
  <si>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</si>
  <si>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</si>
  <si>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</si>
  <si>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</si>
  <si>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</si>
  <si>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</si>
  <si>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</si>
  <si>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</si>
  <si>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</si>
  <si>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</si>
  <si>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</si>
  <si>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</si>
  <si>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</si>
  <si>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</si>
  <si>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</si>
  <si>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</si>
  <si>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</si>
  <si>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</si>
  <si>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</si>
  <si>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</si>
  <si>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</si>
  <si>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</si>
  <si>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</si>
  <si>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</si>
  <si>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</si>
  <si>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</si>
  <si>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</si>
  <si>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</si>
  <si>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</si>
  <si>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</si>
  <si>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</si>
  <si>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</si>
  <si>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</si>
  <si>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</si>
  <si>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</si>
  <si>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</si>
  <si>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</si>
  <si>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</si>
  <si>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</si>
  <si>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</si>
  <si>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</si>
  <si>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</si>
  <si>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</si>
  <si>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</si>
  <si>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</si>
  <si>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</si>
  <si>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</si>
  <si>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</si>
  <si>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</si>
  <si>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</si>
  <si>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</si>
  <si>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</si>
  <si>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</si>
  <si>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</si>
  <si>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</si>
  <si>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</si>
  <si>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</si>
  <si>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</si>
  <si>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</si>
  <si>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</si>
  <si>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</si>
  <si>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</si>
  <si>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</si>
  <si>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</si>
  <si>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</si>
  <si>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</si>
  <si>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</si>
  <si>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</si>
  <si>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</si>
  <si>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</si>
  <si>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</si>
  <si>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</si>
  <si>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</si>
  <si>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</si>
  <si>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</si>
  <si>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</si>
  <si>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</si>
  <si>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</si>
  <si>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</si>
  <si>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</si>
  <si>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</si>
  <si>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</si>
  <si>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</si>
  <si>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</si>
  <si>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</si>
  <si>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</si>
  <si>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</si>
  <si>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</si>
  <si>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</si>
  <si>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</si>
  <si>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</si>
  <si>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</si>
  <si>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</si>
  <si>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</si>
  <si>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</si>
  <si>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</si>
  <si>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</si>
  <si>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</si>
  <si>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</si>
  <si>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</si>
  <si>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</si>
  <si>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</si>
  <si>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</si>
  <si>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</si>
  <si>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</si>
  <si>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</si>
  <si>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</si>
  <si>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</si>
  <si>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</si>
  <si>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</si>
  <si>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</si>
  <si>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</si>
  <si>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</si>
  <si>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</si>
  <si>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</si>
  <si>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</si>
  <si>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</si>
  <si>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</si>
  <si>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</si>
  <si>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</si>
  <si>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</si>
  <si>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</si>
  <si>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</si>
  <si>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</si>
  <si>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</si>
  <si>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</si>
  <si>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</si>
  <si>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</si>
  <si>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</si>
  <si>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</si>
  <si>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</si>
  <si>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</si>
  <si>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</si>
  <si>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</si>
  <si>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</si>
  <si>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</si>
  <si>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</si>
  <si>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</si>
  <si>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</si>
  <si>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</si>
  <si>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</si>
  <si>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</si>
  <si>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</si>
  <si>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</si>
  <si>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</si>
  <si>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</si>
  <si>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</si>
  <si>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</si>
  <si>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</si>
  <si>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</si>
  <si>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</si>
  <si>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</si>
  <si>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</si>
  <si>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</si>
  <si>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</si>
  <si>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</si>
  <si>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</si>
  <si>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</si>
  <si>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</si>
  <si>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</si>
  <si>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</si>
  <si>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</si>
  <si>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</si>
  <si>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</si>
  <si>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</si>
  <si>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</si>
  <si>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</si>
  <si>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</si>
  <si>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</si>
  <si>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</si>
  <si>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</si>
  <si>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</si>
  <si>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</si>
  <si>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</si>
  <si>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</si>
  <si>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</si>
  <si>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</si>
  <si>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</si>
  <si>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</si>
  <si>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</si>
  <si>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</si>
  <si>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</si>
  <si>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</si>
  <si>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</si>
  <si>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</si>
  <si>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</si>
  <si>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</si>
  <si>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</si>
  <si>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</si>
  <si>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</si>
  <si>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</si>
  <si>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</si>
  <si>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</si>
  <si>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</si>
  <si>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</si>
  <si>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</si>
  <si>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</si>
  <si>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</si>
  <si>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</si>
  <si>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</si>
  <si>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</si>
  <si>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</si>
  <si>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</si>
  <si>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</si>
  <si>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</si>
  <si>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</si>
  <si>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</si>
  <si>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</si>
  <si>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</si>
  <si>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</si>
  <si>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</si>
  <si>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</si>
  <si>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</si>
  <si>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</si>
  <si>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</si>
  <si>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</si>
  <si>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</si>
  <si>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</si>
  <si>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</si>
  <si>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</si>
  <si>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</si>
  <si>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</si>
  <si>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</si>
  <si>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</si>
  <si>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</si>
  <si>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</si>
  <si>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</si>
  <si>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</si>
  <si>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</si>
  <si>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</si>
  <si>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</si>
  <si>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</si>
  <si>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</si>
  <si>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</si>
  <si>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</si>
  <si>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</si>
  <si>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</si>
  <si>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</si>
  <si>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</si>
  <si>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</si>
  <si>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</si>
  <si>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</si>
  <si>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</si>
  <si>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</si>
  <si>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</si>
  <si>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</si>
  <si>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</si>
  <si>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</si>
  <si>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</si>
  <si>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</si>
  <si>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</si>
  <si>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</si>
  <si>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</si>
  <si>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</si>
  <si>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</si>
  <si>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</si>
  <si>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</si>
  <si>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</si>
  <si>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</si>
  <si>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</si>
  <si>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</si>
  <si>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</si>
  <si>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</si>
  <si>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</si>
  <si>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</si>
  <si>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</si>
  <si>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</si>
  <si>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</si>
  <si>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</si>
  <si>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</si>
  <si>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</si>
  <si>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</si>
  <si>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</si>
  <si>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</si>
  <si>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</si>
  <si>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</si>
  <si>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</si>
  <si>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</si>
  <si>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</si>
  <si>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</si>
  <si>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</si>
  <si>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</si>
  <si>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</si>
  <si>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</si>
  <si>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</si>
  <si>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</si>
  <si>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</si>
  <si>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</si>
  <si>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</si>
  <si>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</si>
  <si>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</si>
  <si>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</si>
  <si>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</si>
  <si>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</si>
  <si>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</si>
  <si>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</si>
  <si>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</si>
  <si>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</si>
  <si>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</si>
  <si>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</si>
  <si>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</si>
  <si>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</si>
  <si>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</si>
  <si>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</si>
  <si>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</si>
  <si>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</si>
  <si>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</si>
  <si>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</si>
  <si>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</si>
  <si>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</si>
  <si>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</si>
  <si>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</si>
  <si>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</si>
  <si>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</si>
  <si>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</si>
  <si>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</si>
  <si>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</si>
  <si>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</si>
  <si>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</si>
  <si>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</si>
  <si>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</si>
  <si>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</si>
  <si>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</si>
  <si>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</si>
  <si>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</si>
  <si>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</si>
  <si>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</si>
  <si>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</si>
  <si>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</si>
  <si>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</si>
  <si>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</si>
  <si>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</si>
  <si>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</si>
  <si>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</si>
  <si>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</si>
  <si>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</si>
  <si>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</si>
  <si>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</si>
  <si>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</si>
  <si>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</si>
  <si>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</si>
  <si>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</si>
  <si>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</si>
  <si>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</si>
  <si>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</si>
  <si>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</si>
  <si>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</si>
  <si>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</si>
  <si>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</si>
  <si>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</si>
  <si>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</si>
  <si>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</si>
  <si>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</si>
  <si>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</si>
  <si>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</si>
  <si>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</si>
  <si>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</si>
  <si>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</si>
  <si>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</si>
  <si>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</si>
  <si>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</si>
  <si>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</si>
  <si>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</si>
  <si>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</si>
  <si>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</si>
  <si>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</si>
  <si>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</si>
  <si>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</si>
  <si>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</si>
  <si>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</si>
  <si>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</si>
  <si>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</si>
  <si>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</si>
  <si>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</si>
  <si>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</si>
  <si>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</si>
  <si>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</si>
  <si>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</si>
  <si>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</si>
  <si>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</si>
  <si>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</si>
  <si>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</si>
  <si>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</si>
  <si>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</si>
  <si>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</si>
  <si>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</si>
  <si>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</si>
  <si>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</si>
  <si>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</si>
  <si>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</si>
  <si>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</si>
  <si>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</si>
  <si>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</si>
  <si>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</si>
  <si>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</si>
  <si>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</si>
  <si>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</si>
  <si>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</si>
  <si>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</si>
  <si>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</si>
  <si>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</si>
  <si>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</si>
  <si>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</si>
  <si>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</si>
  <si>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</si>
  <si>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</si>
  <si>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</si>
  <si>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</si>
  <si>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</si>
  <si>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</si>
  <si>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</si>
  <si>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</si>
  <si>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</si>
  <si>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</si>
  <si>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</si>
  <si>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</si>
  <si>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</si>
  <si>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</si>
  <si>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</si>
  <si>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</si>
  <si>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</si>
  <si>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</si>
  <si>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</si>
  <si>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</si>
  <si>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</si>
  <si>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</si>
  <si>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</si>
  <si>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</si>
  <si>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</si>
  <si>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</si>
  <si>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</si>
  <si>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</si>
  <si>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</si>
  <si>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</si>
  <si>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</si>
  <si>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</si>
  <si>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</si>
  <si>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</si>
  <si>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</si>
  <si>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</si>
  <si>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</si>
  <si>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</si>
  <si>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</si>
  <si>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</si>
  <si>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</si>
  <si>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</si>
  <si>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</si>
  <si>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</si>
  <si>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</si>
  <si>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</si>
  <si>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</si>
  <si>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</si>
  <si>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</si>
  <si>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</si>
  <si>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</si>
  <si>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</si>
  <si>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</si>
  <si>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</si>
  <si>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</si>
  <si>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</si>
  <si>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</si>
  <si>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</si>
  <si>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</si>
  <si>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</si>
  <si>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</si>
  <si>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</si>
  <si>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</si>
  <si>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</si>
  <si>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</si>
  <si>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</si>
  <si>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</si>
  <si>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</si>
  <si>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</si>
  <si>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</si>
  <si>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</si>
  <si>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</si>
  <si>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</si>
  <si>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</si>
  <si>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</si>
  <si>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</si>
  <si>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</si>
  <si>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</si>
  <si>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</si>
  <si>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</si>
  <si>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</si>
  <si>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</si>
  <si>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</si>
  <si>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</si>
  <si>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</si>
  <si>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</si>
  <si>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</si>
  <si>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</si>
  <si>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</si>
  <si>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</si>
  <si>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</si>
  <si>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</si>
  <si>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</si>
  <si>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</si>
  <si>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</si>
  <si>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</si>
  <si>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</si>
  <si>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</si>
  <si>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</si>
  <si>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</si>
  <si>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</si>
  <si>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</si>
  <si>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</si>
  <si>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</si>
  <si>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</si>
  <si>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</si>
  <si>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</si>
  <si>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</si>
  <si>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</si>
  <si>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</si>
  <si>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</si>
  <si>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</si>
  <si>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</si>
  <si>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</si>
  <si>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</si>
  <si>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</si>
  <si>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</si>
  <si>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</si>
  <si>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</si>
  <si>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</si>
  <si>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</si>
  <si>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</si>
  <si>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</si>
  <si>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</si>
  <si>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</si>
  <si>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</si>
  <si>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</si>
  <si>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</si>
  <si>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</si>
  <si>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</si>
  <si>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</si>
  <si>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</si>
  <si>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</si>
  <si>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</si>
  <si>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</si>
  <si>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</si>
  <si>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</si>
  <si>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</si>
  <si>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</si>
  <si>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</si>
  <si>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</si>
  <si>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</si>
  <si>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</si>
  <si>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</si>
  <si>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</si>
  <si>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</si>
  <si>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</si>
  <si>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</si>
  <si>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</si>
  <si>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</si>
  <si>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</si>
  <si>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</si>
  <si>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</si>
  <si>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</si>
  <si>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</si>
  <si>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</si>
  <si>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</si>
  <si>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</si>
  <si>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</si>
  <si>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</si>
  <si>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</si>
  <si>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</si>
  <si>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</si>
  <si>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</si>
  <si>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</si>
  <si>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</si>
  <si>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</si>
  <si>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</si>
  <si>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</si>
  <si>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</si>
  <si>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</si>
  <si>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</si>
  <si>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</si>
  <si>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</si>
  <si>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</si>
  <si>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</si>
  <si>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</si>
  <si>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</si>
  <si>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</si>
  <si>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</si>
  <si>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</si>
  <si>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</si>
  <si>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</si>
  <si>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</si>
  <si>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</si>
  <si>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</si>
  <si>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</si>
  <si>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</si>
  <si>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</si>
  <si>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</si>
  <si>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</si>
  <si>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</si>
  <si>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</si>
  <si>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</si>
  <si>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</si>
  <si>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</si>
  <si>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</si>
  <si>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</si>
  <si>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</si>
  <si>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</si>
  <si>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</si>
  <si>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</si>
  <si>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</si>
  <si>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</si>
  <si>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</si>
  <si>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</si>
  <si>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</si>
  <si>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</si>
  <si>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</si>
  <si>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</si>
  <si>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</si>
  <si>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</si>
  <si>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</si>
  <si>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</si>
  <si>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</si>
  <si>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</si>
  <si>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</si>
  <si>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</si>
  <si>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</si>
  <si>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</si>
  <si>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</si>
  <si>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</si>
  <si>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</si>
  <si>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</si>
  <si>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</si>
  <si>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</si>
  <si>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</si>
  <si>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</si>
  <si>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</si>
  <si>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</si>
  <si>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</si>
  <si>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</si>
  <si>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</si>
  <si>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</si>
  <si>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</si>
  <si>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</si>
  <si>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</si>
  <si>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</si>
  <si>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</si>
  <si>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</si>
  <si>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</si>
  <si>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</si>
  <si>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</si>
  <si>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</si>
  <si>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</si>
  <si>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</si>
  <si>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</si>
  <si>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</si>
  <si>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</si>
  <si>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</si>
  <si>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</si>
  <si>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</si>
  <si>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</si>
  <si>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</si>
  <si>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</si>
  <si>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</si>
  <si>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</si>
  <si>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</si>
  <si>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</si>
  <si>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</si>
  <si>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</si>
  <si>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</si>
  <si>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</si>
  <si>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</si>
  <si>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</si>
  <si>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</si>
  <si>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</si>
  <si>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</si>
  <si>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</si>
  <si>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</si>
  <si>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</si>
  <si>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</si>
  <si>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</si>
  <si>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</si>
  <si>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</si>
  <si>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</si>
  <si>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</si>
  <si>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</si>
  <si>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</si>
  <si>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</si>
  <si>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</si>
  <si>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</si>
  <si>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</si>
  <si>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</si>
  <si>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</si>
  <si>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</si>
  <si>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</si>
  <si>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</si>
  <si>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</si>
  <si>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</si>
  <si>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</si>
  <si>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</si>
  <si>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</si>
  <si>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</si>
  <si>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</si>
  <si>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</si>
  <si>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</si>
  <si>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</si>
  <si>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</si>
  <si>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</si>
  <si>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</si>
  <si>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</si>
  <si>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</si>
  <si>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</si>
  <si>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</si>
  <si>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</si>
  <si>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</si>
  <si>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</si>
  <si>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</si>
  <si>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</si>
  <si>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</si>
  <si>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</si>
  <si>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</si>
  <si>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</si>
  <si>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</si>
  <si>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</si>
  <si>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</si>
  <si>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</si>
  <si>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</si>
  <si>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</si>
  <si>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</si>
  <si>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</si>
  <si>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</si>
  <si>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</si>
  <si>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</si>
  <si>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</si>
  <si>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</si>
  <si>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</si>
  <si>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</si>
  <si>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</si>
  <si>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</si>
  <si>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</si>
  <si>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</si>
  <si>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</si>
  <si>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</si>
  <si>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</si>
  <si>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</si>
  <si>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</si>
  <si>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</si>
  <si>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</si>
  <si>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</si>
  <si>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</si>
  <si>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</si>
  <si>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</si>
  <si>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</si>
  <si>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</si>
  <si>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</si>
  <si>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</si>
  <si>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</si>
  <si>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</si>
  <si>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</si>
  <si>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</si>
  <si>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</si>
  <si>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</si>
  <si>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</si>
  <si>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</si>
  <si>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</si>
  <si>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</si>
  <si>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</si>
  <si>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</si>
  <si>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</si>
  <si>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</si>
  <si>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</si>
  <si>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</si>
  <si>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</si>
  <si>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</si>
  <si>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</si>
  <si>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</si>
  <si>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</si>
  <si>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</si>
  <si>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</si>
  <si>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</si>
  <si>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</si>
  <si>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</si>
  <si>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</si>
  <si>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</si>
  <si>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</si>
  <si>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</si>
  <si>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</si>
  <si>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</si>
  <si>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</si>
  <si>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</si>
  <si>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</si>
  <si>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</si>
  <si>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</si>
  <si>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</si>
  <si>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</si>
  <si>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</si>
  <si>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</si>
  <si>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</si>
  <si>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</si>
  <si>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</si>
  <si>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</si>
  <si>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</si>
  <si>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</si>
  <si>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</si>
  <si>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</si>
  <si>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</si>
  <si>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</si>
  <si>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</si>
  <si>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</si>
  <si>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</si>
  <si>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</si>
  <si>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</si>
  <si>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</si>
  <si>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</si>
  <si>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</si>
  <si>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</si>
  <si>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</si>
  <si>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</si>
  <si>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</si>
  <si>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</si>
  <si>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</si>
  <si>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</si>
  <si>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</si>
  <si>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</si>
  <si>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</si>
  <si>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</si>
  <si>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</si>
  <si>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</si>
  <si>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</si>
  <si>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</si>
  <si>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</si>
  <si>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</si>
  <si>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</si>
  <si>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</si>
  <si>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</si>
  <si>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</si>
  <si>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</si>
  <si>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</si>
  <si>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</si>
  <si>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</si>
  <si>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</si>
  <si>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</si>
  <si>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</si>
  <si>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</si>
  <si>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</si>
  <si>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</si>
  <si>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</si>
  <si>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</si>
  <si>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</si>
  <si>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</si>
  <si>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</si>
  <si>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</si>
  <si>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</si>
  <si>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</si>
  <si>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</si>
  <si>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</si>
  <si>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</si>
  <si>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</si>
  <si>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</si>
  <si>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</si>
  <si>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</si>
  <si>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</si>
  <si>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</si>
  <si>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</si>
  <si>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</si>
  <si>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</si>
  <si>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</si>
  <si>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</si>
  <si>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</si>
  <si>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</si>
  <si>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</si>
  <si>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</si>
  <si>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</si>
  <si>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</si>
  <si>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</si>
  <si>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</si>
  <si>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</si>
  <si>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</si>
  <si>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</si>
  <si>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</si>
  <si>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</si>
  <si>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</si>
  <si>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</si>
  <si>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</si>
  <si>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</si>
  <si>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</si>
  <si>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</si>
  <si>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</si>
  <si>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</si>
  <si>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</si>
  <si>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</si>
  <si>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</si>
  <si>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</si>
  <si>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</si>
  <si>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</si>
  <si>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</si>
  <si>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</si>
  <si>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</si>
  <si>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</si>
  <si>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</si>
  <si>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</si>
  <si>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</si>
  <si>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</si>
  <si>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</si>
  <si>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</si>
  <si>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</si>
  <si>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</si>
  <si>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</si>
  <si>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</si>
  <si>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</si>
  <si>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</si>
  <si>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</si>
  <si>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</si>
  <si>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</si>
  <si>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</si>
  <si>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</si>
  <si>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</si>
  <si>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</si>
  <si>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</si>
  <si>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</si>
  <si>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</si>
  <si>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</si>
  <si>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</si>
  <si>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</si>
  <si>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</si>
  <si>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</si>
  <si>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</si>
  <si>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</si>
  <si>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</si>
  <si>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</si>
  <si>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</si>
  <si>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</si>
  <si>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</si>
  <si>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</si>
  <si>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</si>
  <si>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</si>
  <si>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</si>
  <si>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</si>
  <si>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</si>
  <si>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</si>
  <si>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</si>
  <si>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</si>
  <si>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</si>
  <si>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</si>
  <si>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</si>
  <si>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</si>
  <si>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</si>
  <si>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</si>
  <si>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</si>
  <si>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</si>
  <si>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</si>
  <si>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</si>
  <si>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</si>
  <si>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</si>
  <si>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</si>
  <si>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</si>
  <si>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</si>
  <si>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</si>
  <si>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</si>
  <si>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</si>
  <si>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</si>
  <si>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</si>
  <si>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</si>
  <si>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</si>
  <si>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</si>
  <si>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</si>
  <si>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</si>
  <si>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</si>
  <si>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</si>
  <si>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</si>
  <si>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</si>
  <si>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</si>
  <si>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</si>
  <si>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</si>
  <si>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</si>
  <si>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</si>
  <si>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</si>
  <si>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</si>
  <si>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</si>
  <si>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</si>
  <si>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</si>
  <si>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</si>
  <si>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</si>
  <si>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</si>
  <si>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</si>
  <si>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</si>
  <si>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</si>
  <si>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</si>
  <si>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</si>
  <si>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</si>
  <si>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</si>
  <si>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</si>
  <si>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</si>
  <si>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</si>
  <si>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</si>
  <si>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</si>
  <si>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</si>
  <si>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</si>
  <si>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</si>
  <si>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</si>
  <si>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</si>
  <si>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</si>
  <si>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</si>
  <si>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</si>
  <si>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</si>
  <si>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</si>
  <si>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</si>
  <si>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</si>
  <si>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</si>
  <si>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</si>
  <si>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</si>
  <si>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</si>
  <si>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</si>
  <si>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</si>
  <si>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</si>
  <si>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</si>
  <si>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</si>
  <si>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</si>
  <si>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</si>
  <si>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</si>
  <si>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</si>
  <si>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</si>
  <si>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</si>
  <si>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</si>
  <si>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</si>
  <si>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</si>
  <si>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</si>
  <si>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</si>
  <si>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</si>
  <si>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</si>
  <si>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</si>
  <si>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</si>
  <si>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</si>
  <si>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</si>
  <si>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</si>
  <si>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</si>
  <si>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</si>
  <si>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</si>
  <si>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</si>
  <si>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</si>
  <si>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</si>
  <si>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</si>
  <si>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</si>
  <si>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</si>
  <si>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</si>
  <si>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</si>
  <si>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</si>
  <si>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</si>
  <si>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</si>
  <si>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</si>
  <si>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</si>
  <si>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</si>
  <si>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</si>
  <si>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</si>
  <si>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</si>
  <si>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</si>
  <si>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</si>
  <si>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</si>
  <si>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</si>
  <si>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</si>
  <si>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</si>
  <si>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</si>
  <si>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</si>
  <si>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</si>
  <si>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</si>
  <si>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</si>
  <si>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</si>
  <si>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</si>
  <si>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</si>
  <si>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</si>
  <si>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</si>
  <si>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</si>
  <si>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</si>
  <si>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</si>
  <si>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</si>
  <si>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</si>
  <si>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</si>
  <si>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</si>
  <si>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</si>
  <si>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</si>
  <si>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</si>
  <si>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</si>
  <si>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</si>
  <si>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</si>
  <si>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</si>
  <si>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</si>
  <si>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</si>
  <si>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</si>
  <si>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</si>
  <si>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</si>
  <si>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</si>
  <si>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</si>
  <si>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</si>
  <si>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</si>
  <si>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</si>
  <si>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</si>
  <si>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</si>
  <si>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</si>
  <si>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</si>
  <si>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</si>
  <si>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</si>
  <si>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</si>
  <si>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</si>
  <si>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</si>
  <si>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</si>
  <si>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</si>
  <si>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</si>
  <si>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</si>
  <si>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</si>
  <si>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</si>
  <si>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</si>
  <si>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</si>
  <si>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</si>
  <si>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</si>
  <si>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</si>
  <si>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</si>
  <si>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</si>
  <si>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</si>
  <si>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</si>
  <si>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</si>
  <si>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</si>
  <si>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</si>
  <si>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</si>
  <si>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</si>
  <si>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</si>
  <si>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</si>
  <si>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</si>
  <si>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</si>
  <si>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</si>
  <si>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</si>
  <si>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</si>
  <si>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</si>
  <si>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</si>
  <si>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</si>
  <si>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</si>
  <si>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</si>
  <si>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</si>
  <si>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</si>
  <si>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</si>
  <si>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</si>
  <si>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</si>
  <si>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</si>
  <si>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</si>
  <si>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</si>
  <si>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</si>
  <si>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</si>
  <si>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</si>
  <si>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</si>
  <si>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</si>
  <si>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</si>
  <si>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</si>
  <si>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</si>
  <si>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</si>
  <si>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</si>
  <si>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</si>
  <si>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</si>
  <si>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</si>
  <si>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</si>
  <si>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</si>
  <si>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</si>
  <si>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</si>
  <si>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</si>
  <si>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</si>
  <si>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</si>
  <si>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</si>
  <si>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</si>
  <si>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</si>
  <si>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</si>
  <si>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</si>
  <si>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</si>
  <si>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</si>
  <si>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</si>
  <si>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</si>
  <si>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</si>
  <si>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</si>
  <si>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</si>
  <si>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</si>
  <si>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</si>
  <si>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</si>
  <si>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</si>
  <si>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</si>
  <si>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</si>
  <si>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</si>
  <si>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</si>
  <si>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</si>
  <si>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</si>
  <si>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</si>
  <si>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</si>
  <si>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</si>
  <si>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</si>
  <si>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</si>
  <si>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</si>
  <si>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</si>
  <si>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</si>
  <si>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</si>
  <si>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</si>
  <si>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</si>
  <si>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</si>
  <si>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</si>
  <si>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</si>
  <si>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</si>
  <si>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</si>
  <si>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</si>
  <si>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</si>
  <si>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</si>
  <si>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</si>
  <si>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</si>
  <si>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</si>
  <si>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</si>
  <si>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</si>
  <si>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</si>
  <si>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</si>
  <si>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</si>
  <si>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</si>
  <si>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</si>
  <si>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</si>
  <si>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</si>
  <si>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</si>
  <si>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</si>
  <si>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</si>
  <si>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</si>
  <si>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</si>
  <si>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</si>
  <si>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</si>
  <si>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</si>
  <si>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</si>
  <si>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</si>
  <si>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</si>
  <si>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</si>
  <si>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</si>
  <si>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</si>
  <si>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</si>
  <si>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</si>
  <si>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</si>
  <si>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</si>
  <si>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</si>
  <si>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</si>
  <si>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</si>
  <si>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</si>
  <si>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</si>
  <si>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</si>
  <si>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</si>
  <si>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</si>
  <si>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</si>
  <si>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</si>
  <si>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</si>
  <si>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</si>
  <si>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</si>
  <si>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</si>
  <si>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</si>
  <si>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</si>
  <si>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</si>
  <si>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</si>
  <si>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</si>
  <si>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</si>
  <si>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</si>
  <si>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</si>
  <si>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</si>
  <si>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</si>
  <si>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</si>
  <si>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</si>
  <si>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</si>
  <si>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</si>
  <si>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</si>
  <si>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</si>
  <si>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</si>
  <si>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</si>
  <si>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</si>
  <si>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</si>
  <si>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</si>
  <si>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</si>
  <si>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</si>
  <si>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</si>
  <si>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</si>
  <si>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</si>
  <si>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</si>
  <si>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</si>
  <si>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</si>
  <si>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</si>
  <si>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</si>
  <si>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</si>
  <si>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</si>
  <si>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</si>
  <si>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</si>
  <si>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</si>
  <si>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</si>
  <si>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</si>
  <si>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</si>
  <si>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</si>
  <si>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</si>
  <si>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</si>
  <si>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</si>
  <si>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</si>
  <si>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</si>
  <si>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</si>
  <si>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</si>
  <si>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</si>
  <si>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</si>
  <si>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</si>
  <si>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</si>
  <si>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</si>
  <si>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</si>
  <si>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</si>
  <si>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</si>
  <si>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</si>
  <si>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</si>
  <si>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</si>
  <si>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</si>
  <si>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</si>
  <si>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</si>
  <si>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</si>
  <si>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</si>
  <si>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</si>
  <si>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</si>
  <si>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</si>
  <si>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</si>
  <si>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</si>
  <si>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</si>
  <si>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</si>
  <si>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</si>
  <si>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</si>
  <si>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</si>
  <si>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</si>
  <si>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</si>
  <si>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</si>
  <si>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</si>
  <si>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</si>
  <si>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</si>
  <si>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</si>
  <si>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</si>
  <si>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</si>
  <si>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</si>
  <si>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</si>
  <si>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</si>
  <si>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</si>
  <si>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</si>
  <si>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</si>
  <si>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</si>
  <si>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</si>
  <si>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</si>
  <si>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</si>
  <si>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</si>
  <si>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</si>
  <si>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</si>
  <si>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</si>
  <si>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</si>
  <si>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</si>
  <si>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</si>
  <si>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</si>
  <si>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</si>
  <si>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</si>
  <si>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</si>
  <si>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</si>
  <si>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</si>
  <si>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</si>
  <si>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</si>
  <si>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</si>
  <si>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</si>
  <si>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</si>
  <si>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</si>
  <si>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</si>
  <si>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</si>
  <si>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</si>
  <si>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</si>
  <si>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</si>
  <si>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</si>
  <si>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</si>
  <si>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</si>
  <si>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</si>
  <si>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</si>
  <si>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</si>
  <si>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</si>
  <si>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</si>
  <si>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</si>
  <si>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</si>
  <si>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</si>
  <si>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</si>
  <si>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</si>
  <si>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</si>
  <si>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</si>
  <si>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</si>
  <si>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</si>
  <si>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</si>
  <si>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</si>
  <si>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</si>
  <si>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</si>
  <si>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</si>
  <si>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</si>
  <si>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</si>
  <si>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</si>
  <si>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</si>
  <si>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</si>
  <si>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</si>
  <si>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</si>
  <si>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</si>
  <si>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</si>
  <si>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</si>
  <si>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</si>
  <si>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</si>
  <si>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</si>
  <si>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</si>
  <si>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</si>
  <si>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</si>
  <si>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</si>
  <si>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</si>
  <si>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</si>
  <si>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</si>
  <si>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</si>
  <si>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</si>
  <si>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</si>
  <si>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</si>
  <si>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</si>
  <si>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</si>
  <si>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</si>
  <si>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</si>
  <si>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</si>
  <si>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</si>
  <si>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</si>
  <si>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</si>
  <si>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</si>
  <si>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</si>
  <si>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</si>
  <si>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</si>
  <si>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</si>
  <si>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</si>
  <si>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</si>
  <si>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</si>
  <si>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</si>
  <si>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</si>
  <si>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</si>
  <si>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</si>
  <si>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</si>
  <si>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</si>
  <si>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</si>
  <si>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</si>
  <si>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</si>
  <si>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</si>
  <si>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</si>
  <si>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</si>
  <si>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</si>
  <si>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</si>
  <si>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</si>
  <si>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</si>
  <si>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</si>
  <si>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</si>
  <si>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</si>
  <si>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</si>
  <si>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</si>
  <si>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</si>
  <si>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</si>
  <si>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</si>
  <si>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</si>
  <si>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</si>
  <si>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</si>
  <si>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</si>
  <si>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</si>
  <si>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</si>
  <si>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</si>
  <si>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</si>
  <si>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</si>
  <si>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</si>
  <si>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</si>
  <si>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</si>
  <si>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</si>
  <si>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</si>
  <si>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</si>
  <si>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</si>
  <si>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</si>
  <si>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</si>
  <si>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</si>
  <si>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</si>
  <si>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</si>
  <si>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</si>
  <si>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</si>
  <si>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</si>
  <si>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</si>
  <si>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</si>
  <si>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</si>
  <si>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</si>
  <si>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</si>
  <si>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</si>
  <si>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</si>
  <si>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</si>
  <si>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</si>
  <si>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</si>
  <si>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</si>
  <si>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</si>
  <si>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</si>
  <si>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</si>
  <si>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</si>
  <si>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</si>
  <si>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</si>
  <si>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</si>
  <si>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</si>
  <si>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</si>
  <si>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</si>
  <si>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</si>
  <si>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</si>
  <si>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</si>
  <si>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</si>
  <si>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</si>
  <si>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</si>
  <si>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</si>
  <si>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</si>
  <si>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</si>
  <si>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</si>
  <si>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</si>
  <si>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</si>
  <si>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</si>
  <si>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</si>
  <si>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</si>
  <si>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</si>
  <si>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</si>
  <si>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</si>
  <si>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</si>
  <si>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</si>
  <si>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</si>
  <si>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</si>
  <si>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</si>
  <si>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</si>
  <si>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</si>
  <si>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</si>
  <si>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</si>
  <si>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</si>
  <si>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</si>
  <si>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</si>
  <si>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</si>
  <si>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</si>
  <si>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</si>
  <si>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</si>
  <si>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</si>
  <si>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</si>
  <si>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</si>
  <si>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</si>
  <si>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</si>
  <si>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</si>
  <si>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</si>
  <si>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</si>
  <si>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</si>
  <si>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</si>
  <si>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</si>
  <si>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</si>
  <si>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</si>
  <si>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</si>
  <si>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</si>
  <si>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</si>
  <si>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</si>
  <si>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</si>
  <si>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</si>
  <si>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</si>
  <si>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</si>
  <si>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</si>
  <si>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</si>
  <si>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</si>
  <si>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</si>
  <si>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</si>
  <si>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</si>
  <si>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</si>
  <si>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</si>
  <si>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</si>
  <si>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</si>
  <si>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</si>
  <si>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</si>
  <si>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</si>
  <si>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</si>
  <si>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</si>
  <si>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</si>
  <si>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</si>
  <si>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</si>
  <si>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</si>
  <si>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</si>
  <si>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</si>
  <si>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</si>
  <si>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</si>
  <si>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</si>
  <si>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</si>
  <si>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</si>
  <si>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</si>
  <si>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</si>
  <si>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</si>
  <si>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</si>
  <si>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</si>
  <si>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</si>
  <si>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</si>
  <si>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</si>
  <si>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</si>
  <si>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</si>
  <si>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</si>
  <si>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</si>
  <si>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</si>
  <si>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</si>
  <si>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</si>
  <si>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</si>
  <si>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</si>
  <si>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</si>
  <si>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</si>
  <si>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</si>
  <si>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</si>
  <si>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</si>
  <si>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</si>
  <si>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</si>
  <si>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</si>
  <si>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</si>
  <si>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</si>
  <si>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</si>
  <si>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</si>
  <si>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</si>
  <si>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</si>
  <si>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</si>
  <si>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</si>
  <si>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</si>
  <si>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</si>
  <si>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</si>
  <si>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</si>
  <si>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</si>
  <si>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</si>
  <si>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</si>
  <si>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</si>
  <si>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</si>
  <si>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</si>
  <si>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</si>
  <si>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</si>
  <si>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</si>
  <si>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</si>
  <si>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</si>
  <si>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</si>
  <si>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</si>
  <si>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</si>
  <si>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</si>
  <si>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</si>
  <si>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</si>
  <si>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</si>
  <si>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</si>
  <si>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</si>
  <si>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</si>
  <si>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</si>
  <si>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</si>
  <si>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</si>
  <si>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</si>
  <si>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</si>
  <si>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</si>
  <si>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</si>
  <si>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</si>
  <si>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</si>
  <si>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</si>
  <si>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</si>
  <si>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</si>
  <si>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</si>
  <si>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</si>
  <si>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</si>
  <si>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</si>
  <si>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</si>
  <si>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</si>
  <si>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</si>
  <si>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</si>
  <si>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</si>
  <si>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</si>
  <si>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</si>
  <si>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</si>
  <si>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</si>
  <si>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</si>
  <si>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</si>
  <si>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</si>
  <si>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</si>
  <si>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</si>
  <si>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</si>
  <si>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</si>
  <si>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</si>
  <si>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</si>
  <si>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</si>
  <si>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</si>
  <si>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</si>
  <si>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</si>
  <si>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</si>
  <si>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</si>
  <si>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</si>
  <si>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</si>
  <si>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</si>
  <si>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</si>
  <si>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</si>
  <si>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</si>
  <si>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</si>
  <si>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</si>
  <si>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</si>
  <si>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</si>
  <si>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</si>
  <si>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</si>
  <si>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</si>
  <si>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</si>
  <si>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</si>
  <si>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</si>
  <si>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</si>
  <si>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</si>
  <si>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</si>
  <si>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</si>
  <si>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</si>
  <si>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</si>
  <si>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</si>
  <si>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</si>
  <si>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</si>
  <si>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</si>
  <si>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</si>
  <si>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</si>
  <si>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</si>
  <si>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</si>
  <si>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</si>
  <si>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</si>
  <si>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</si>
  <si>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</si>
  <si>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</si>
  <si>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</si>
  <si>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</si>
  <si>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</si>
  <si>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</si>
  <si>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</si>
  <si>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</si>
  <si>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</si>
  <si>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</si>
  <si>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</si>
  <si>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</si>
  <si>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</si>
  <si>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</si>
  <si>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</si>
  <si>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</si>
  <si>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</si>
  <si>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</si>
  <si>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</si>
  <si>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</si>
  <si>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</si>
  <si>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</si>
  <si>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</si>
  <si>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</si>
  <si>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</si>
  <si>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</si>
  <si>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</si>
  <si>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</si>
  <si>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</si>
  <si>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</si>
  <si>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</si>
  <si>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</si>
  <si>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</si>
  <si>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</si>
  <si>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</si>
  <si>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</si>
  <si>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</si>
  <si>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</si>
  <si>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</si>
  <si>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</si>
  <si>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</si>
  <si>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</si>
  <si>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</si>
  <si>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</si>
  <si>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</si>
  <si>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</si>
  <si>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</si>
  <si>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</si>
  <si>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</si>
  <si>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</si>
  <si>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</si>
  <si>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</si>
  <si>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</si>
  <si>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</si>
  <si>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</si>
  <si>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</si>
  <si>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</si>
  <si>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</si>
  <si>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</si>
  <si>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</si>
  <si>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</si>
  <si>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</si>
  <si>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</si>
  <si>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</si>
  <si>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</si>
  <si>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</si>
  <si>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</si>
  <si>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</si>
  <si>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</si>
  <si>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</si>
  <si>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</si>
  <si>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</si>
  <si>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</si>
  <si>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</si>
  <si>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</si>
  <si>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</si>
  <si>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</si>
  <si>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</si>
  <si>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</si>
  <si>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</si>
  <si>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</si>
  <si>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</si>
  <si>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</si>
  <si>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</si>
  <si>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</si>
  <si>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</si>
  <si>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</si>
  <si>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</si>
  <si>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</si>
  <si>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</si>
  <si>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</si>
  <si>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</si>
  <si>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</si>
  <si>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</si>
  <si>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</si>
  <si>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</si>
  <si>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</si>
  <si>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</si>
  <si>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</si>
  <si>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</si>
  <si>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</si>
  <si>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</si>
  <si>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</si>
  <si>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</si>
  <si>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</si>
  <si>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</si>
  <si>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</si>
  <si>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</si>
  <si>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</si>
  <si>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</si>
  <si>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</si>
  <si>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</si>
  <si>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</si>
  <si>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</si>
  <si>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</si>
  <si>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</si>
  <si>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</si>
  <si>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</si>
  <si>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</si>
  <si>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</si>
  <si>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</si>
  <si>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</si>
  <si>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</si>
  <si>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</si>
  <si>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</si>
  <si>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</si>
  <si>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</si>
  <si>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</si>
  <si>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</si>
  <si>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</si>
  <si>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</si>
  <si>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</si>
  <si>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</si>
  <si>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</si>
  <si>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</si>
  <si>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</si>
  <si>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</si>
  <si>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</si>
  <si>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</si>
  <si>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</si>
  <si>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</si>
  <si>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</si>
  <si>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</si>
  <si>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</si>
  <si>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</si>
  <si>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</si>
  <si>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</si>
  <si>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</si>
  <si>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</si>
  <si>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</si>
  <si>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</si>
  <si>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</si>
  <si>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</si>
  <si>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</si>
  <si>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</si>
  <si>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</si>
  <si>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</si>
  <si>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</si>
  <si>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</si>
  <si>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</si>
  <si>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</si>
  <si>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</si>
  <si>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</si>
  <si>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</si>
  <si>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</si>
  <si>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</si>
  <si>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</si>
  <si>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</si>
  <si>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</si>
  <si>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</si>
  <si>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</si>
  <si>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</si>
  <si>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</si>
  <si>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</si>
  <si>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</si>
  <si>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</si>
  <si>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</si>
  <si>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</si>
  <si>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</si>
  <si>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</si>
  <si>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</si>
  <si>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</si>
  <si>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</si>
  <si>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</si>
  <si>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</si>
  <si>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</si>
  <si>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</si>
  <si>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</si>
  <si>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</si>
  <si>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</si>
  <si>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</si>
  <si>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</si>
  <si>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</si>
  <si>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</si>
  <si>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</si>
  <si>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</si>
  <si>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</si>
  <si>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</si>
  <si>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</si>
  <si>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</si>
  <si>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</si>
  <si>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</si>
  <si>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</si>
  <si>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</si>
  <si>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</si>
  <si>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</si>
  <si>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</si>
  <si>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</si>
  <si>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</si>
  <si>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</si>
  <si>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</si>
  <si>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</si>
  <si>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</si>
  <si>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</si>
  <si>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</si>
  <si>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</si>
  <si>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</si>
  <si>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</si>
  <si>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</si>
  <si>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</si>
  <si>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</si>
  <si>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</si>
  <si>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</si>
  <si>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</si>
  <si>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</si>
  <si>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</si>
  <si>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</si>
  <si>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</si>
  <si>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</si>
  <si>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</si>
  <si>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</si>
  <si>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</si>
  <si>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</si>
  <si>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</si>
  <si>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</si>
  <si>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</si>
  <si>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</si>
  <si>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</si>
  <si>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</si>
  <si>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</si>
  <si>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</si>
  <si>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</si>
  <si>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</si>
  <si>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</si>
  <si>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</si>
  <si>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</si>
  <si>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</si>
  <si>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</si>
  <si>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</si>
  <si>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</si>
  <si>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</si>
  <si>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</si>
  <si>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</si>
  <si>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</si>
  <si>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</si>
  <si>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</si>
  <si>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</si>
  <si>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</si>
  <si>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</si>
  <si>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</si>
  <si>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</si>
  <si>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</si>
  <si>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</si>
  <si>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</si>
  <si>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</si>
  <si>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</si>
  <si>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</si>
  <si>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</si>
  <si>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</si>
  <si>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</si>
  <si>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</si>
  <si>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</si>
  <si>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</si>
  <si>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</si>
  <si>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</si>
  <si>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</si>
  <si>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</si>
  <si>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</si>
  <si>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</si>
  <si>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</si>
  <si>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</si>
  <si>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</si>
  <si>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</si>
  <si>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</si>
  <si>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</si>
  <si>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</si>
  <si>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</si>
  <si>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</si>
  <si>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</si>
  <si>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</si>
  <si>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</si>
  <si>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</si>
  <si>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</si>
  <si>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</si>
  <si>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</si>
  <si>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</si>
  <si>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</si>
  <si>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</si>
  <si>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</si>
  <si>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</si>
  <si>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</si>
  <si>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</si>
  <si>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</si>
  <si>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</si>
  <si>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</si>
  <si>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</si>
  <si>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</si>
  <si>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</si>
  <si>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</si>
  <si>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</si>
  <si>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</si>
  <si>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</si>
  <si>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</si>
  <si>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</si>
  <si>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</si>
  <si>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</si>
  <si>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</si>
  <si>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</si>
  <si>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</si>
  <si>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</si>
  <si>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</si>
  <si>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</si>
  <si>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</si>
  <si>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</si>
  <si>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</si>
  <si>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</si>
  <si>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</si>
  <si>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</si>
  <si>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</si>
  <si>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</si>
  <si>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</si>
  <si>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</si>
  <si>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</si>
  <si>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</si>
  <si>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</si>
  <si>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</si>
  <si>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</si>
  <si>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</si>
  <si>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</si>
  <si>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</si>
  <si>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</si>
  <si>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</si>
  <si>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</si>
  <si>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</si>
  <si>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</si>
  <si>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</si>
  <si>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</si>
  <si>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</si>
  <si>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</si>
  <si>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</si>
  <si>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</si>
  <si>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</si>
  <si>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</si>
  <si>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</si>
  <si>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</si>
  <si>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</si>
  <si>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</si>
  <si>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</si>
  <si>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</si>
  <si>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</si>
  <si>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</si>
  <si>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</si>
  <si>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</si>
  <si>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</si>
  <si>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</si>
  <si>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</si>
  <si>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</si>
  <si>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</si>
  <si>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</si>
  <si>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</si>
  <si>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</si>
  <si>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</si>
  <si>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</si>
  <si>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</si>
  <si>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</si>
  <si>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</si>
  <si>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</si>
  <si>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</si>
  <si>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</si>
  <si>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</si>
  <si>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</si>
  <si>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</si>
  <si>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</si>
  <si>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</si>
  <si>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</si>
  <si>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</si>
  <si>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</si>
  <si>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</si>
  <si>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</si>
  <si>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</si>
  <si>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</si>
  <si>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</si>
  <si>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</si>
  <si>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</si>
  <si>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</si>
  <si>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</si>
  <si>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</si>
  <si>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</si>
  <si>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</si>
  <si>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</si>
  <si>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</si>
  <si>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</si>
  <si>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</si>
  <si>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</si>
  <si>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</si>
  <si>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</si>
  <si>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</si>
  <si>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</si>
  <si>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</si>
  <si>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</si>
  <si>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</si>
  <si>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</si>
  <si>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</si>
  <si>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</si>
  <si>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</si>
  <si>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</si>
  <si>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</si>
  <si>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</si>
  <si>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</si>
  <si>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</si>
  <si>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</si>
  <si>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</si>
  <si>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</si>
  <si>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</si>
  <si>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</si>
  <si>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</si>
  <si>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</si>
  <si>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</si>
  <si>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</si>
  <si>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</si>
  <si>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</si>
  <si>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</si>
  <si>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</si>
  <si>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</si>
  <si>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</si>
  <si>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</si>
  <si>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</si>
  <si>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</si>
  <si>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</si>
  <si>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</si>
  <si>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</si>
  <si>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</si>
  <si>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</si>
  <si>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</si>
  <si>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</si>
  <si>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</si>
  <si>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</si>
  <si>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</si>
  <si>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</si>
  <si>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</si>
  <si>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</si>
  <si>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</si>
  <si>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</si>
  <si>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</si>
  <si>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</si>
  <si>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</si>
  <si>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</si>
  <si>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</si>
  <si>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</si>
  <si>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</si>
  <si>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</si>
  <si>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</si>
  <si>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</si>
  <si>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</si>
  <si>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</si>
  <si>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</si>
  <si>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</si>
  <si>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</si>
  <si>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</si>
  <si>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</si>
  <si>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</si>
  <si>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</si>
  <si>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</si>
  <si>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</si>
  <si>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</si>
  <si>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</si>
  <si>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</si>
  <si>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</si>
  <si>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</si>
  <si>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</si>
  <si>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</si>
  <si>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</si>
  <si>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</si>
  <si>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</si>
  <si>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</si>
  <si>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</si>
  <si>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</si>
  <si>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</si>
  <si>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</si>
  <si>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</si>
  <si>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</si>
  <si>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</si>
  <si>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</si>
  <si>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</si>
  <si>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</si>
  <si>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</si>
  <si>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</si>
  <si>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</si>
  <si>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</si>
  <si>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</si>
  <si>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</si>
  <si>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</si>
  <si>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</si>
  <si>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</si>
  <si>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</si>
  <si>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</si>
  <si>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</si>
  <si>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</si>
  <si>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</si>
  <si>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</si>
  <si>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</si>
  <si>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</si>
  <si>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</si>
  <si>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</si>
  <si>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</si>
  <si>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</si>
  <si>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</si>
  <si>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</si>
  <si>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</si>
  <si>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</si>
  <si>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</si>
  <si>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</si>
  <si>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</si>
  <si>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</si>
  <si>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</si>
  <si>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</si>
  <si>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</si>
  <si>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</si>
  <si>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</si>
  <si>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</si>
  <si>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</si>
  <si>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</si>
  <si>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</si>
  <si>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</si>
  <si>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</si>
  <si>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</si>
  <si>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</si>
  <si>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</si>
  <si>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</si>
  <si>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</si>
  <si>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</si>
  <si>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</si>
  <si>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</si>
  <si>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</si>
  <si>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</si>
  <si>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</si>
  <si>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</si>
  <si>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</si>
  <si>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</si>
  <si>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</si>
  <si>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</si>
  <si>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</si>
  <si>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</si>
  <si>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</si>
  <si>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</si>
  <si>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</si>
  <si>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</si>
  <si>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</si>
  <si>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</si>
  <si>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</si>
  <si>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</si>
  <si>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</si>
  <si>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</si>
  <si>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</si>
  <si>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</si>
  <si>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</si>
  <si>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</si>
  <si>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</si>
  <si>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</si>
  <si>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</si>
  <si>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</si>
  <si>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</si>
  <si>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</si>
  <si>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</si>
  <si>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</si>
  <si>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</si>
  <si>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</si>
  <si>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</si>
  <si>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</si>
  <si>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</si>
  <si>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</si>
  <si>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</si>
  <si>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</si>
  <si>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</si>
  <si>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</si>
  <si>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</si>
  <si>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</si>
  <si>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</si>
  <si>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</si>
  <si>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</si>
  <si>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</si>
  <si>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</si>
  <si>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</si>
  <si>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</si>
  <si>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</si>
  <si>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</si>
  <si>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</si>
  <si>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</si>
  <si>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</si>
  <si>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</si>
  <si>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</si>
  <si>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</si>
  <si>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</si>
  <si>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</si>
  <si>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</si>
  <si>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</si>
  <si>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</si>
  <si>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</si>
  <si>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</si>
  <si>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</si>
  <si>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</si>
  <si>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</si>
  <si>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</si>
  <si>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</si>
  <si>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</si>
  <si>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</si>
  <si>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</si>
  <si>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</si>
  <si>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</si>
  <si>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</si>
  <si>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</si>
  <si>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</si>
  <si>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</si>
  <si>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</si>
  <si>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</si>
  <si>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</si>
  <si>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</si>
  <si>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</si>
  <si>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</si>
  <si>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</si>
  <si>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</si>
  <si>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</si>
  <si>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</si>
  <si>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</si>
  <si>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</si>
  <si>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</si>
  <si>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</si>
  <si>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</si>
  <si>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</si>
  <si>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</si>
  <si>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</si>
  <si>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</si>
  <si>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</si>
  <si>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</si>
  <si>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</si>
  <si>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</si>
  <si>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</si>
  <si>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</si>
  <si>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</si>
  <si>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</si>
  <si>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</si>
  <si>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</si>
  <si>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</si>
  <si>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</si>
  <si>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</si>
  <si>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</si>
  <si>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</si>
  <si>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</si>
  <si>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</si>
  <si>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</si>
  <si>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</si>
  <si>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</si>
  <si>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</si>
  <si>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</si>
  <si>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</si>
  <si>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</si>
  <si>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</si>
  <si>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</si>
  <si>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</si>
  <si>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</si>
  <si>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</si>
  <si>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</si>
  <si>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</si>
  <si>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</si>
  <si>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</si>
  <si>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</si>
  <si>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</si>
  <si>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</si>
  <si>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</si>
  <si>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</si>
  <si>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</si>
  <si>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</si>
  <si>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</si>
  <si>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</si>
  <si>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</si>
  <si>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</si>
  <si>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</si>
  <si>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</si>
  <si>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</si>
  <si>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</si>
  <si>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</si>
  <si>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</si>
  <si>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</si>
  <si>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</si>
  <si>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</si>
  <si>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</si>
  <si>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</si>
  <si>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</si>
  <si>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</si>
  <si>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</si>
  <si>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</si>
  <si>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</si>
  <si>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</si>
  <si>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</si>
  <si>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</si>
  <si>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</si>
  <si>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</si>
  <si>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</si>
  <si>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</si>
  <si>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</si>
  <si>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</si>
  <si>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</si>
  <si>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</si>
  <si>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</si>
  <si>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</si>
  <si>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</si>
  <si>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</si>
  <si>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</si>
  <si>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</si>
  <si>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</si>
  <si>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</si>
  <si>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</si>
  <si>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</si>
  <si>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</si>
  <si>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</si>
  <si>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</si>
  <si>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</si>
  <si>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</si>
  <si>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</si>
  <si>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</si>
  <si>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</si>
  <si>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</si>
  <si>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</si>
  <si>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</si>
  <si>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</si>
  <si>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</si>
  <si>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</si>
  <si>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</si>
  <si>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</si>
  <si>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</si>
  <si>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</si>
  <si>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</si>
  <si>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</si>
  <si>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</si>
  <si>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</si>
  <si>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</si>
  <si>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</si>
  <si>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</si>
  <si>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</si>
  <si>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</si>
  <si>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</si>
  <si>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</si>
  <si>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</si>
  <si>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</si>
  <si>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</si>
  <si>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</si>
  <si>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</si>
  <si>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</si>
  <si>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</si>
  <si>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</si>
  <si>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</si>
  <si>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</si>
  <si>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</si>
  <si>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</si>
  <si>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</si>
  <si>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</si>
  <si>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</si>
  <si>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</si>
  <si>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</si>
  <si>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</si>
  <si>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</si>
  <si>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</si>
  <si>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</si>
  <si>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</si>
  <si>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</si>
  <si>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</si>
  <si>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</si>
  <si>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</si>
  <si>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</si>
  <si>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</si>
  <si>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</si>
  <si>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</si>
  <si>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</si>
  <si>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</si>
  <si>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</si>
  <si>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</si>
  <si>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</si>
  <si>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</si>
  <si>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</si>
  <si>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</si>
  <si>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</si>
  <si>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</si>
  <si>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</si>
  <si>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</si>
  <si>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</si>
  <si>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</si>
  <si>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</si>
  <si>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</si>
  <si>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</si>
  <si>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</si>
  <si>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</si>
  <si>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</si>
  <si>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</si>
  <si>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</si>
  <si>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</si>
  <si>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</si>
  <si>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</si>
  <si>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</si>
  <si>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</si>
  <si>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</si>
  <si>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</si>
  <si>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</si>
  <si>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</si>
  <si>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</si>
  <si>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</si>
  <si>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</si>
  <si>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</si>
  <si>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</si>
  <si>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</si>
  <si>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</si>
  <si>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</si>
  <si>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</si>
  <si>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</si>
  <si>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</si>
  <si>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</si>
  <si>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</si>
  <si>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</si>
  <si>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</si>
  <si>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</si>
  <si>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</si>
  <si>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</si>
  <si>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</si>
  <si>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</si>
  <si>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</si>
  <si>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</si>
  <si>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</si>
  <si>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</si>
  <si>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</si>
  <si>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</si>
  <si>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</si>
  <si>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</si>
  <si>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</si>
  <si>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</si>
  <si>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</si>
  <si>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</si>
  <si>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</si>
  <si>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</si>
  <si>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</si>
  <si>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</si>
  <si>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</si>
  <si>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</si>
  <si>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</si>
  <si>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</si>
  <si>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</si>
  <si>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</si>
  <si>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</si>
  <si>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</si>
  <si>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</si>
  <si>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</si>
  <si>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</si>
  <si>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</si>
  <si>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</si>
  <si>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</si>
  <si>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</si>
  <si>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</si>
  <si>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</si>
  <si>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</si>
  <si>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</si>
  <si>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</si>
  <si>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</si>
  <si>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</si>
  <si>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</si>
  <si>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</si>
  <si>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</si>
  <si>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</si>
  <si>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</si>
  <si>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</si>
  <si>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</si>
  <si>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</si>
  <si>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</si>
  <si>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</si>
  <si>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</si>
  <si>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</si>
  <si>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</si>
  <si>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</si>
  <si>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</si>
  <si>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</si>
  <si>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</si>
  <si>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</si>
  <si>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</si>
  <si>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</si>
  <si>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</si>
  <si>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</si>
  <si>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</si>
  <si>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</si>
  <si>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</si>
  <si>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</si>
  <si>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</si>
  <si>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</si>
  <si>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</si>
  <si>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</si>
  <si>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</si>
  <si>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</si>
  <si>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</si>
  <si>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</si>
  <si>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</si>
  <si>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</si>
  <si>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</si>
  <si>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</si>
  <si>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</si>
  <si>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</si>
  <si>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</si>
  <si>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</si>
  <si>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</si>
  <si>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</si>
  <si>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</si>
  <si>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</si>
  <si>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</si>
  <si>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</si>
  <si>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</si>
  <si>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</si>
  <si>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</si>
  <si>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</si>
  <si>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</si>
  <si>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</si>
  <si>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</si>
  <si>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</si>
  <si>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</si>
  <si>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</si>
  <si>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</si>
  <si>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</si>
  <si>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</si>
  <si>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</si>
  <si>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</si>
  <si>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</si>
  <si>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</si>
  <si>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</si>
  <si>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</si>
  <si>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</si>
  <si>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</si>
  <si>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</si>
  <si>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</si>
  <si>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</si>
  <si>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</si>
  <si>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</si>
  <si>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</si>
  <si>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</si>
  <si>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</si>
  <si>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</si>
  <si>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</si>
  <si>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</si>
  <si>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</si>
  <si>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</si>
  <si>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</si>
  <si>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</si>
  <si>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</si>
  <si>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</si>
  <si>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</si>
  <si>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</si>
  <si>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</si>
  <si>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</si>
  <si>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</si>
  <si>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</si>
  <si>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</si>
  <si>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</si>
  <si>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</si>
  <si>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</si>
  <si>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</si>
  <si>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</si>
  <si>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</si>
  <si>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</si>
  <si>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</si>
  <si>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</si>
  <si>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</si>
  <si>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</si>
  <si>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</si>
  <si>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</si>
  <si>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</si>
  <si>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</si>
  <si>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</si>
  <si>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</si>
  <si>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</si>
  <si>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</si>
  <si>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</si>
  <si>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</si>
  <si>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</si>
  <si>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</si>
  <si>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</si>
  <si>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</si>
  <si>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</si>
  <si>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</si>
  <si>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</si>
  <si>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</si>
  <si>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</si>
  <si>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</si>
  <si>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</si>
  <si>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</si>
  <si>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</si>
  <si>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</si>
  <si>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</si>
  <si>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</si>
  <si>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</si>
  <si>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</si>
  <si>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</si>
  <si>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</si>
  <si>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</si>
  <si>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</si>
  <si>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</si>
  <si>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</si>
  <si>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</si>
  <si>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</si>
  <si>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</si>
  <si>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</si>
  <si>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</si>
  <si>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</si>
  <si>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</si>
  <si>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</si>
  <si>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</si>
  <si>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</si>
  <si>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</si>
  <si>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</si>
  <si>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</si>
  <si>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</si>
  <si>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</si>
  <si>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</si>
  <si>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</si>
  <si>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</si>
  <si>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</si>
  <si>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</si>
  <si>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</si>
  <si>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</si>
  <si>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</si>
  <si>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</si>
  <si>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</si>
  <si>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</si>
  <si>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</si>
  <si>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</si>
  <si>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</si>
  <si>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</si>
  <si>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</si>
  <si>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</si>
  <si>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</si>
  <si>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</si>
  <si>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</si>
  <si>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</si>
  <si>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</si>
  <si>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</si>
  <si>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</si>
  <si>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</si>
  <si>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</si>
  <si>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</si>
  <si>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</si>
  <si>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</si>
  <si>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</si>
  <si>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</si>
  <si>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</si>
  <si>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</si>
  <si>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</si>
  <si>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</si>
  <si>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</si>
  <si>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</si>
  <si>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</si>
  <si>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</si>
  <si>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</si>
  <si>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</si>
  <si>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</si>
  <si>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</si>
  <si>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</si>
  <si>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</si>
  <si>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</si>
  <si>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</si>
  <si>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</si>
  <si>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</si>
  <si>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</si>
  <si>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</si>
  <si>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</si>
  <si>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</si>
  <si>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</si>
  <si>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</si>
  <si>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</si>
  <si>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</si>
  <si>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</si>
  <si>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</si>
  <si>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</si>
  <si>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</si>
  <si>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</si>
  <si>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</si>
  <si>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</si>
  <si>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</si>
  <si>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</si>
  <si>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</si>
  <si>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</si>
  <si>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</si>
  <si>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</si>
  <si>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</si>
  <si>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</si>
  <si>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</si>
  <si>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</si>
  <si>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</si>
  <si>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</si>
  <si>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</si>
  <si>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</si>
  <si>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</si>
  <si>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</si>
  <si>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</si>
  <si>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</si>
  <si>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</si>
  <si>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</si>
  <si>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</si>
  <si>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</si>
  <si>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</si>
  <si>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</si>
  <si>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</si>
  <si>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</si>
  <si>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</si>
  <si>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</si>
  <si>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</si>
  <si>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</si>
  <si>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</si>
  <si>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</si>
  <si>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</si>
  <si>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</si>
  <si>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</si>
  <si>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</si>
  <si>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</si>
  <si>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</si>
  <si>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</si>
  <si>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</si>
  <si>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</si>
  <si>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</si>
  <si>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</si>
  <si>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</si>
  <si>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</si>
  <si>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</si>
  <si>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</si>
  <si>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</si>
  <si>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</si>
  <si>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</si>
  <si>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</si>
  <si>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</si>
  <si>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</si>
  <si>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</si>
  <si>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</si>
  <si>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</si>
  <si>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</si>
  <si>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</si>
  <si>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</si>
  <si>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</si>
  <si>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</si>
  <si>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</si>
  <si>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</si>
  <si>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</si>
  <si>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</si>
  <si>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</si>
  <si>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</si>
  <si>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</si>
  <si>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</si>
  <si>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</si>
  <si>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</si>
  <si>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</si>
  <si>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</si>
  <si>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</si>
  <si>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</si>
  <si>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</si>
  <si>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</si>
  <si>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</si>
  <si>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</si>
  <si>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</si>
  <si>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</si>
  <si>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</si>
  <si>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</si>
  <si>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</si>
  <si>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</si>
  <si>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</si>
  <si>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</si>
  <si>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</si>
  <si>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</si>
  <si>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</si>
  <si>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</si>
  <si>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</si>
  <si>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</si>
  <si>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</si>
  <si>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</si>
  <si>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</si>
  <si>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</si>
  <si>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</si>
  <si>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</si>
  <si>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</si>
  <si>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</si>
  <si>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</si>
  <si>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</si>
  <si>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</si>
  <si>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</si>
  <si>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</si>
  <si>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</si>
  <si>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</si>
  <si>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</si>
  <si>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</si>
  <si>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</si>
  <si>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</si>
  <si>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</si>
  <si>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</si>
  <si>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</si>
  <si>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</si>
  <si>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</si>
  <si>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</si>
  <si>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</si>
  <si>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</si>
  <si>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</si>
  <si>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</si>
  <si>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</si>
  <si>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</si>
  <si>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</si>
  <si>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</si>
  <si>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</si>
  <si>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</si>
  <si>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</si>
  <si>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</si>
  <si>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</si>
  <si>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</si>
  <si>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</si>
  <si>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</si>
  <si>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</si>
  <si>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</si>
  <si>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</si>
  <si>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</si>
  <si>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</si>
  <si>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</si>
  <si>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</si>
  <si>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</si>
  <si>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</si>
  <si>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</si>
  <si>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</si>
  <si>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</si>
  <si>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</si>
  <si>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</si>
  <si>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</si>
  <si>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</si>
  <si>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</si>
  <si>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</si>
  <si>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</si>
  <si>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</si>
  <si>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</si>
  <si>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</si>
  <si>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</si>
  <si>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</si>
  <si>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</si>
  <si>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</si>
  <si>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</si>
  <si>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</si>
  <si>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</si>
  <si>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</si>
  <si>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</si>
  <si>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</si>
  <si>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</si>
  <si>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</si>
  <si>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</si>
  <si>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</si>
  <si>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</si>
  <si>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</si>
  <si>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</si>
  <si>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</si>
  <si>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</si>
  <si>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</si>
  <si>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</si>
  <si>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</si>
  <si>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</si>
  <si>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</si>
  <si>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</si>
  <si>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</si>
  <si>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</si>
  <si>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</si>
  <si>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</si>
  <si>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</si>
  <si>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</si>
  <si>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</si>
  <si>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</si>
  <si>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</si>
  <si>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</si>
  <si>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</si>
  <si>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</si>
  <si>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</si>
  <si>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</si>
  <si>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</si>
  <si>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</si>
  <si>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</si>
  <si>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</si>
  <si>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</si>
  <si>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</si>
  <si>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</si>
  <si>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</si>
  <si>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</si>
  <si>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</si>
  <si>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</si>
  <si>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</si>
  <si>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</si>
  <si>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</si>
  <si>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</si>
  <si>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</si>
  <si>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</si>
  <si>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</si>
  <si>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</si>
  <si>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</si>
  <si>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</si>
  <si>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</si>
  <si>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</si>
  <si>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</si>
  <si>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</si>
  <si>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</si>
  <si>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</si>
  <si>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</si>
  <si>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</si>
  <si>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</si>
  <si>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</si>
  <si>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</si>
  <si>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</si>
  <si>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</si>
  <si>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</si>
  <si>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</si>
  <si>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</si>
  <si>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</si>
  <si>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</si>
  <si>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</si>
  <si>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</si>
  <si>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</si>
  <si>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</si>
  <si>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</si>
  <si>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</si>
  <si>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</si>
  <si>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</si>
  <si>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</si>
  <si>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</si>
  <si>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</si>
  <si>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</si>
  <si>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</si>
  <si>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</si>
  <si>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</si>
  <si>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</si>
  <si>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</si>
  <si>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</si>
  <si>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</si>
  <si>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</si>
  <si>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</si>
  <si>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</si>
  <si>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</si>
  <si>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</si>
  <si>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</si>
  <si>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</si>
  <si>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</si>
  <si>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</si>
  <si>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</si>
  <si>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</si>
  <si>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</si>
  <si>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</si>
  <si>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</si>
  <si>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</si>
  <si>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</si>
  <si>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</si>
  <si>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</si>
  <si>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</si>
  <si>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</si>
  <si>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</si>
  <si>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</si>
  <si>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</si>
  <si>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</si>
  <si>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</si>
  <si>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</si>
  <si>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</si>
  <si>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</si>
  <si>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</si>
  <si>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</si>
  <si>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</si>
  <si>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</si>
  <si>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</si>
  <si>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</si>
  <si>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</si>
  <si>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</si>
  <si>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</si>
  <si>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</si>
  <si>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</si>
  <si>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</si>
  <si>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</si>
  <si>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</si>
  <si>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</si>
  <si>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</si>
  <si>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</si>
  <si>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</si>
  <si>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</si>
  <si>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</si>
  <si>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</si>
  <si>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</si>
  <si>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</si>
  <si>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</si>
  <si>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</si>
  <si>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</si>
  <si>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</si>
  <si>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</si>
  <si>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</si>
  <si>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</si>
  <si>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</si>
  <si>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</si>
  <si>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</si>
  <si>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</si>
  <si>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</si>
  <si>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</si>
  <si>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</si>
  <si>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</si>
  <si>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</si>
  <si>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</si>
  <si>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</si>
  <si>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</si>
  <si>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</si>
  <si>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</si>
  <si>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</si>
  <si>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</si>
  <si>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</si>
  <si>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</si>
  <si>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</si>
  <si>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</si>
  <si>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</si>
  <si>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</si>
  <si>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</si>
  <si>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</si>
  <si>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</si>
  <si>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</si>
  <si>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</si>
  <si>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</si>
  <si>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</si>
  <si>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</si>
  <si>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</si>
  <si>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</si>
  <si>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</si>
  <si>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</si>
  <si>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</si>
  <si>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</si>
  <si>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</si>
  <si>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</si>
  <si>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</si>
  <si>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</si>
  <si>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</si>
  <si>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</si>
  <si>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</si>
  <si>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</si>
  <si>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</si>
  <si>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</si>
  <si>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</si>
  <si>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</si>
  <si>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</si>
  <si>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</si>
  <si>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</si>
  <si>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</si>
  <si>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</si>
  <si>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</si>
  <si>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</si>
  <si>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</si>
  <si>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</si>
  <si>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</si>
  <si>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</si>
  <si>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</si>
  <si>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</si>
  <si>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</si>
  <si>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</si>
  <si>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</si>
  <si>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</si>
  <si>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</si>
  <si>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</si>
  <si>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</si>
  <si>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</si>
  <si>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</si>
  <si>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</si>
  <si>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</si>
  <si>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</si>
  <si>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</si>
  <si>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</si>
  <si>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</si>
  <si>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</si>
  <si>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</si>
  <si>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</si>
  <si>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</si>
  <si>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</si>
  <si>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</si>
  <si>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</si>
  <si>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</si>
  <si>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</si>
  <si>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</si>
  <si>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</si>
  <si>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</si>
  <si>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</si>
  <si>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</si>
  <si>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</si>
  <si>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</si>
  <si>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</si>
  <si>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</si>
  <si>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</si>
  <si>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</si>
  <si>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</si>
  <si>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</si>
  <si>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</si>
  <si>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</si>
  <si>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</si>
  <si>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</si>
  <si>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</si>
  <si>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</si>
  <si>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</si>
  <si>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</si>
  <si>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</si>
  <si>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</si>
  <si>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</si>
  <si>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</si>
  <si>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</si>
  <si>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</si>
  <si>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</si>
  <si>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</si>
  <si>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</si>
  <si>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</si>
  <si>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</si>
  <si>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</si>
  <si>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</si>
  <si>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</si>
  <si>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</si>
  <si>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</si>
  <si>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</si>
  <si>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</si>
  <si>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</si>
  <si>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</si>
  <si>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</si>
  <si>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</si>
  <si>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</si>
  <si>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</si>
  <si>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</si>
  <si>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</si>
  <si>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</si>
  <si>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</si>
  <si>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</si>
  <si>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</si>
  <si>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</si>
  <si>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</si>
  <si>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</si>
  <si>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</si>
  <si>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</si>
  <si>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</si>
  <si>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</si>
  <si>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</si>
  <si>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</si>
  <si>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</si>
  <si>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</si>
  <si>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</si>
  <si>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</si>
  <si>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</si>
  <si>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</si>
  <si>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</si>
  <si>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</si>
  <si>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</si>
  <si>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</si>
  <si>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</si>
  <si>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</si>
  <si>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</si>
  <si>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</si>
  <si>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</si>
  <si>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</si>
  <si>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</si>
  <si>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</si>
  <si>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</si>
  <si>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</si>
  <si>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</si>
  <si>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</si>
  <si>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</si>
  <si>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</si>
  <si>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</si>
  <si>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</si>
  <si>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</si>
  <si>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</si>
  <si>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</si>
  <si>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</si>
  <si>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</si>
  <si>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</si>
  <si>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</si>
  <si>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</si>
  <si>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</si>
  <si>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</si>
  <si>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</si>
  <si>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</si>
  <si>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</si>
  <si>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</si>
  <si>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</si>
  <si>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</si>
  <si>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</si>
  <si>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</si>
  <si>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</si>
  <si>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</si>
  <si>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</si>
  <si>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</si>
  <si>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</si>
  <si>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</si>
  <si>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</si>
  <si>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</si>
  <si>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</si>
  <si>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</si>
  <si>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</si>
  <si>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</si>
  <si>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</si>
  <si>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</si>
  <si>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</si>
  <si>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</si>
  <si>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</si>
  <si>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</si>
  <si>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</si>
  <si>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</si>
  <si>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</si>
  <si>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</si>
  <si>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</si>
  <si>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</si>
  <si>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</si>
  <si>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</si>
  <si>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</si>
  <si>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</si>
  <si>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</si>
  <si>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</si>
  <si>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</si>
  <si>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</si>
  <si>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</si>
  <si>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</si>
  <si>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</si>
  <si>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</si>
  <si>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</si>
  <si>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</si>
  <si>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</si>
  <si>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</si>
  <si>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</si>
  <si>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</si>
  <si>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</si>
  <si>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</si>
  <si>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</si>
  <si>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</si>
  <si>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</si>
  <si>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</si>
  <si>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</si>
  <si>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</si>
  <si>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</si>
  <si>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</si>
  <si>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</si>
  <si>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</si>
  <si>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</si>
  <si>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</si>
  <si>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</si>
  <si>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</si>
  <si>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</si>
  <si>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</si>
  <si>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</si>
  <si>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</si>
  <si>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</si>
  <si>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</si>
  <si>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</si>
  <si>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</si>
  <si>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</si>
  <si>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</si>
  <si>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</si>
  <si>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</si>
  <si>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</si>
  <si>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</si>
  <si>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</si>
  <si>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</si>
  <si>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</si>
  <si>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</si>
  <si>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</si>
  <si>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</si>
  <si>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</si>
  <si>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</si>
  <si>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</si>
  <si>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</si>
  <si>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</si>
  <si>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</si>
  <si>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</si>
  <si>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</si>
  <si>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</si>
  <si>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</si>
  <si>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</si>
  <si>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</si>
  <si>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</si>
  <si>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</si>
  <si>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</si>
  <si>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</si>
  <si>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</si>
  <si>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</si>
  <si>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</si>
  <si>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</si>
  <si>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</si>
  <si>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</si>
  <si>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</si>
  <si>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</si>
  <si>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</si>
  <si>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</si>
  <si>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</si>
  <si>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</si>
  <si>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</si>
  <si>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</si>
  <si>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</si>
  <si>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</si>
  <si>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</si>
  <si>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</si>
  <si>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</si>
  <si>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</si>
  <si>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</si>
  <si>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</si>
  <si>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</si>
  <si>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</si>
  <si>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</si>
  <si>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</si>
  <si>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</si>
  <si>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</si>
  <si>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</si>
  <si>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</si>
  <si>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</si>
  <si>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</si>
  <si>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</si>
  <si>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</si>
  <si>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</si>
  <si>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</si>
  <si>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</si>
  <si>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</si>
  <si>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</si>
  <si>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</si>
  <si>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</si>
  <si>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</si>
  <si>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</si>
  <si>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</si>
  <si>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</si>
  <si>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</si>
  <si>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</si>
  <si>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</si>
  <si>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</si>
  <si>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</si>
  <si>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</si>
  <si>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</si>
  <si>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</si>
  <si>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</si>
  <si>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</si>
  <si>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</si>
  <si>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</si>
  <si>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</si>
  <si>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</si>
  <si>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</si>
  <si>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</si>
  <si>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</si>
  <si>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</si>
  <si>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</si>
  <si>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</si>
  <si>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</si>
  <si>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</si>
  <si>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</si>
  <si>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</si>
  <si>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</si>
  <si>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</si>
  <si>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</si>
  <si>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</si>
  <si>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</si>
  <si>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</si>
  <si>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</si>
  <si>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</si>
  <si>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</si>
  <si>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</si>
  <si>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</si>
  <si>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</si>
  <si>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</si>
  <si>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</si>
  <si>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</si>
  <si>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</si>
  <si>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</si>
  <si>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</si>
  <si>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</si>
  <si>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</si>
  <si>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</si>
  <si>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</si>
  <si>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</si>
  <si>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</si>
  <si>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</si>
  <si>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</si>
  <si>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</si>
  <si>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</si>
  <si>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</si>
  <si>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</si>
  <si>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</si>
  <si>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</si>
  <si>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</si>
  <si>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</si>
  <si>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</si>
  <si>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</si>
  <si>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</si>
  <si>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</si>
  <si>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</si>
  <si>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</si>
  <si>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</si>
  <si>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</si>
  <si>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</si>
  <si>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</si>
  <si>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</si>
  <si>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</si>
  <si>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</si>
  <si>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</si>
  <si>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</si>
  <si>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</si>
  <si>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</si>
  <si>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</si>
  <si>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</si>
  <si>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</si>
  <si>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</si>
  <si>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</si>
  <si>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</si>
  <si>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</si>
  <si>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</si>
  <si>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</si>
  <si>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</si>
  <si>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</si>
  <si>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</si>
  <si>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</si>
  <si>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</si>
  <si>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</si>
  <si>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</si>
  <si>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</si>
  <si>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</si>
  <si>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</si>
  <si>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</si>
  <si>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</si>
  <si>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</si>
  <si>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</si>
  <si>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</si>
  <si>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</si>
  <si>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</si>
  <si>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</si>
  <si>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</si>
  <si>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</si>
  <si>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</si>
  <si>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</si>
  <si>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</si>
  <si>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</si>
  <si>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</si>
  <si>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</si>
  <si>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</si>
  <si>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</si>
  <si>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</si>
  <si>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</si>
  <si>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</si>
  <si>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</si>
  <si>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</si>
  <si>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</si>
  <si>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</si>
  <si>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</si>
  <si>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</si>
  <si>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</si>
  <si>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</si>
  <si>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</si>
  <si>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</si>
  <si>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</si>
  <si>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</si>
  <si>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</si>
  <si>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</si>
  <si>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</si>
  <si>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</si>
  <si>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</si>
  <si>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</si>
  <si>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</si>
  <si>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</si>
  <si>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</si>
  <si>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</si>
  <si>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</si>
  <si>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</si>
  <si>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</si>
  <si>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</si>
  <si>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</si>
  <si>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</si>
  <si>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</si>
  <si>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</si>
  <si>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</si>
  <si>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</si>
  <si>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</si>
  <si>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</si>
  <si>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</si>
  <si>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</si>
  <si>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</si>
  <si>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</si>
  <si>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</si>
  <si>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</si>
  <si>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</si>
  <si>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</si>
  <si>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</si>
  <si>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</si>
  <si>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</si>
  <si>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</si>
  <si>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</si>
  <si>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</si>
  <si>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</si>
  <si>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</si>
  <si>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</si>
  <si>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</si>
  <si>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</si>
  <si>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</si>
  <si>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</si>
  <si>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</si>
  <si>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</si>
  <si>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</si>
  <si>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</si>
  <si>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</si>
  <si>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</si>
  <si>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</si>
  <si>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</si>
  <si>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</si>
  <si>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</si>
  <si>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</si>
  <si>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</si>
  <si>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</si>
  <si>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</si>
  <si>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</si>
  <si>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</si>
  <si>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</si>
  <si>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</si>
  <si>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</si>
  <si>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</si>
  <si>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</si>
  <si>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</si>
  <si>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</si>
  <si>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</si>
  <si>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</si>
  <si>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</si>
  <si>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</si>
  <si>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</si>
  <si>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</si>
  <si>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</si>
  <si>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</si>
  <si>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</si>
  <si>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</si>
  <si>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</si>
  <si>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</si>
  <si>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</si>
  <si>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</si>
  <si>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</si>
  <si>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</si>
  <si>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</si>
  <si>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</si>
  <si>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</si>
  <si>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</si>
  <si>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</si>
  <si>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</si>
  <si>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</si>
  <si>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</si>
  <si>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</si>
  <si>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</si>
  <si>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</si>
  <si>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</si>
  <si>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</si>
  <si>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</si>
  <si>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</si>
  <si>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</si>
  <si>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</si>
  <si>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</si>
  <si>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</si>
  <si>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</si>
  <si>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</si>
  <si>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</si>
  <si>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</si>
  <si>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</si>
  <si>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</si>
  <si>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</si>
  <si>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</si>
  <si>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</si>
  <si>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</si>
  <si>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</si>
  <si>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</si>
  <si>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</si>
  <si>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</si>
  <si>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</si>
  <si>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</si>
  <si>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</si>
  <si>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</si>
  <si>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</si>
  <si>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</si>
  <si>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</si>
  <si>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</si>
  <si>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</si>
  <si>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</si>
  <si>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</si>
  <si>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</si>
  <si>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</si>
  <si>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</si>
  <si>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</si>
  <si>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</si>
  <si>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</si>
  <si>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</si>
  <si>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</si>
  <si>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</si>
  <si>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</si>
  <si>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</si>
  <si>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</si>
  <si>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</si>
  <si>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</si>
  <si>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</si>
  <si>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</si>
  <si>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</si>
  <si>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</si>
  <si>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</si>
  <si>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</si>
  <si>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</si>
  <si>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</si>
  <si>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</si>
  <si>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</si>
  <si>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</si>
  <si>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</si>
  <si>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</si>
  <si>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</si>
  <si>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</si>
  <si>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</si>
  <si>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</si>
  <si>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</si>
  <si>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</si>
  <si>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</si>
  <si>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</si>
  <si>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</si>
  <si>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</si>
  <si>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</si>
  <si>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</si>
  <si>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</si>
  <si>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</si>
  <si>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</si>
  <si>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</si>
  <si>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</si>
  <si>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</si>
  <si>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</si>
  <si>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</si>
  <si>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</si>
  <si>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</si>
  <si>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</si>
  <si>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</si>
  <si>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</si>
  <si>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</si>
  <si>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</si>
  <si>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</si>
  <si>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</si>
  <si>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</si>
  <si>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</si>
  <si>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</si>
  <si>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</si>
  <si>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</si>
  <si>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</si>
  <si>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</si>
  <si>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</si>
  <si>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</si>
  <si>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</si>
  <si>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</si>
  <si>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</si>
  <si>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</si>
  <si>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</si>
  <si>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</si>
  <si>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</si>
  <si>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</si>
  <si>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</si>
  <si>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</si>
  <si>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</si>
  <si>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</si>
  <si>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</si>
  <si>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</si>
  <si>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</si>
  <si>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</si>
  <si>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</si>
  <si>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</si>
  <si>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</si>
  <si>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</si>
  <si>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</si>
  <si>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</si>
  <si>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</si>
  <si>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</si>
  <si>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</si>
  <si>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</si>
  <si>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</si>
  <si>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</si>
  <si>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</si>
  <si>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</si>
  <si>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</si>
  <si>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</si>
  <si>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</si>
  <si>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</si>
  <si>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</si>
  <si>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</si>
  <si>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</si>
  <si>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</si>
  <si>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</si>
  <si>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</si>
  <si>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</si>
  <si>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</si>
  <si>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</si>
  <si>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</si>
  <si>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</si>
  <si>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</si>
  <si>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</si>
  <si>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</si>
  <si>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</si>
  <si>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</si>
  <si>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</si>
  <si>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</si>
  <si>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</si>
  <si>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</si>
  <si>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</si>
  <si>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</si>
  <si>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</si>
  <si>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</si>
  <si>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</si>
  <si>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</si>
  <si>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</si>
  <si>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</si>
  <si>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</si>
  <si>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</si>
  <si>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</si>
  <si>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</si>
  <si>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</si>
  <si>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</si>
  <si>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</si>
  <si>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</si>
  <si>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</si>
  <si>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</si>
  <si>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</si>
  <si>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</si>
  <si>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</si>
  <si>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</si>
  <si>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</si>
  <si>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</si>
  <si>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</si>
  <si>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</si>
  <si>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</si>
  <si>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</si>
  <si>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</si>
  <si>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</si>
  <si>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</si>
  <si>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</si>
  <si>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</si>
  <si>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</si>
  <si>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</si>
  <si>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</si>
  <si>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</si>
  <si>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</si>
  <si>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</si>
  <si>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</si>
  <si>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</si>
  <si>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</si>
  <si>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</si>
  <si>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</si>
  <si>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</si>
  <si>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</si>
  <si>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</si>
  <si>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</si>
  <si>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</si>
  <si>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</si>
  <si>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</si>
  <si>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</si>
  <si>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</si>
  <si>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</si>
  <si>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</si>
  <si>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</si>
  <si>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</si>
  <si>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</si>
  <si>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</si>
  <si>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</si>
  <si>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</si>
  <si>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</si>
  <si>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</si>
  <si>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</si>
  <si>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</si>
  <si>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</si>
  <si>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</si>
  <si>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</si>
  <si>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</si>
  <si>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</si>
  <si>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</si>
  <si>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</si>
  <si>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</si>
  <si>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</si>
  <si>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</si>
  <si>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</si>
  <si>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</si>
  <si>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</si>
  <si>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</si>
  <si>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</si>
  <si>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</si>
  <si>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</si>
  <si>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</si>
  <si>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</si>
  <si>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</si>
  <si>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</si>
  <si>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</si>
  <si>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</si>
  <si>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</si>
  <si>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</si>
  <si>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</si>
  <si>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</si>
  <si>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</si>
  <si>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</si>
  <si>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</si>
  <si>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</si>
  <si>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</si>
  <si>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</si>
  <si>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</si>
  <si>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</si>
  <si>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</si>
  <si>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</si>
  <si>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</si>
  <si>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</si>
  <si>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</si>
  <si>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</si>
  <si>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</si>
  <si>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</si>
  <si>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</si>
  <si>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</si>
  <si>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</si>
  <si>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</si>
  <si>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</si>
  <si>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</si>
  <si>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</si>
  <si>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</si>
  <si>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</si>
  <si>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</si>
  <si>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</si>
  <si>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</si>
  <si>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</si>
  <si>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</si>
  <si>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</si>
  <si>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</si>
  <si>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</si>
  <si>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</si>
  <si>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</si>
  <si>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</si>
  <si>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</si>
  <si>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</si>
  <si>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</si>
  <si>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</si>
  <si>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</si>
  <si>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</si>
  <si>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</si>
  <si>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</si>
  <si>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</si>
  <si>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</si>
  <si>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</si>
  <si>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</si>
  <si>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</si>
  <si>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</si>
  <si>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</si>
  <si>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</si>
  <si>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</si>
  <si>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</si>
  <si>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</si>
  <si>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</si>
  <si>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</si>
  <si>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</si>
  <si>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</si>
  <si>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</si>
  <si>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</si>
  <si>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</si>
  <si>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</si>
  <si>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</si>
  <si>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</si>
  <si>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</si>
  <si>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</si>
  <si>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</si>
  <si>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</si>
  <si>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</si>
  <si>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</si>
  <si>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</si>
  <si>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</si>
  <si>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</si>
  <si>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</si>
  <si>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</si>
  <si>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</si>
  <si>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</si>
  <si>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</si>
  <si>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</si>
  <si>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</si>
  <si>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</si>
  <si>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</si>
  <si>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</si>
  <si>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</si>
  <si>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</si>
  <si>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</si>
  <si>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</si>
  <si>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</si>
  <si>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</si>
  <si>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</si>
  <si>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</si>
  <si>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</si>
  <si>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</si>
  <si>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</si>
  <si>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</si>
  <si>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</si>
  <si>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</si>
  <si>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</si>
  <si>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</si>
  <si>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</si>
  <si>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</si>
  <si>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</si>
  <si>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</si>
  <si>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</si>
  <si>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</si>
  <si>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</si>
  <si>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</si>
  <si>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</si>
  <si>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</si>
  <si>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</si>
  <si>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</si>
  <si>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</si>
  <si>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</si>
  <si>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</si>
  <si>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</si>
  <si>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</si>
  <si>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</si>
  <si>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</si>
  <si>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</si>
  <si>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</si>
  <si>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</si>
  <si>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</si>
  <si>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</si>
  <si>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</si>
  <si>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</si>
  <si>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</si>
  <si>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</si>
  <si>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</si>
  <si>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</si>
  <si>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</si>
  <si>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</si>
  <si>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</si>
  <si>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</si>
  <si>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</si>
  <si>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</si>
  <si>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</si>
  <si>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</si>
  <si>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</si>
  <si>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</si>
  <si>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</si>
  <si>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</si>
  <si>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</si>
  <si>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</si>
  <si>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</si>
  <si>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</si>
  <si>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</si>
  <si>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</si>
  <si>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</si>
  <si>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</si>
  <si>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</si>
  <si>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</si>
  <si>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</si>
  <si>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</si>
  <si>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</si>
  <si>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</si>
  <si>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</si>
  <si>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</si>
  <si>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</si>
  <si>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</si>
  <si>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</si>
  <si>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</si>
  <si>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</si>
  <si>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</si>
  <si>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</si>
  <si>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</si>
  <si>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</si>
  <si>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</si>
  <si>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</si>
  <si>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</si>
  <si>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</si>
  <si>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</si>
  <si>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</si>
  <si>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</si>
  <si>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</si>
  <si>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</si>
  <si>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</si>
  <si>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</si>
  <si>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</si>
  <si>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</si>
  <si>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</si>
  <si>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</si>
  <si>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</si>
  <si>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</si>
  <si>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</si>
  <si>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</si>
  <si>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</si>
  <si>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</si>
  <si>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</si>
  <si>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</si>
  <si>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</si>
  <si>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</si>
  <si>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</si>
  <si>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</si>
  <si>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</si>
  <si>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</si>
  <si>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</si>
  <si>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</si>
  <si>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</si>
  <si>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</si>
  <si>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</si>
  <si>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</si>
  <si>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</si>
  <si>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</si>
  <si>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</si>
  <si>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</si>
  <si>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</si>
  <si>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</si>
  <si>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</si>
  <si>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</si>
  <si>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</si>
  <si>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</si>
  <si>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</si>
  <si>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</si>
  <si>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</si>
  <si>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</si>
  <si>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</si>
  <si>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</si>
  <si>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</si>
  <si>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</si>
  <si>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</si>
  <si>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</si>
  <si>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</si>
  <si>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</si>
  <si>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</si>
  <si>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</si>
  <si>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</si>
  <si>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</si>
  <si>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</si>
  <si>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</si>
  <si>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</si>
  <si>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</si>
  <si>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</si>
  <si>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</si>
  <si>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</si>
  <si>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</si>
  <si>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</si>
  <si>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</si>
  <si>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</si>
  <si>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</si>
  <si>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</si>
  <si>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</si>
  <si>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</si>
  <si>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</si>
  <si>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</si>
  <si>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</si>
  <si>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</si>
  <si>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</si>
  <si>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</si>
  <si>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</si>
  <si>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</si>
  <si>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</si>
  <si>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</si>
  <si>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</si>
  <si>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</si>
  <si>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</si>
  <si>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</si>
  <si>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</si>
  <si>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</si>
  <si>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</si>
  <si>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</si>
  <si>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</si>
  <si>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</si>
  <si>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</si>
  <si>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</si>
  <si>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</si>
  <si>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</si>
  <si>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</si>
  <si>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</si>
  <si>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</si>
  <si>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</si>
  <si>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</si>
  <si>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</si>
  <si>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</si>
  <si>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</si>
  <si>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</si>
  <si>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</si>
  <si>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</si>
  <si>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</si>
  <si>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</si>
  <si>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</si>
  <si>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</si>
  <si>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</si>
  <si>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</si>
  <si>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</si>
  <si>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</si>
  <si>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</si>
  <si>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</si>
  <si>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</si>
  <si>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</si>
  <si>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</si>
  <si>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</si>
  <si>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</si>
  <si>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</si>
  <si>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</si>
  <si>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</si>
  <si>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</si>
  <si>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</si>
  <si>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</si>
  <si>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</si>
  <si>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</si>
  <si>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</si>
  <si>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</si>
  <si>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</si>
  <si>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</si>
  <si>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</si>
  <si>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</si>
  <si>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</si>
  <si>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</si>
  <si>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</si>
  <si>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</si>
  <si>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</si>
  <si>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</si>
  <si>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</si>
  <si>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</si>
  <si>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</si>
  <si>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</si>
  <si>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</si>
  <si>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</si>
  <si>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</si>
  <si>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</si>
  <si>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</si>
  <si>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</si>
  <si>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</si>
  <si>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</si>
  <si>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</si>
  <si>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</si>
  <si>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</si>
  <si>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</si>
  <si>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</si>
  <si>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</si>
  <si>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</si>
  <si>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</si>
  <si>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</si>
  <si>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</si>
  <si>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</si>
  <si>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</si>
  <si>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</si>
  <si>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</si>
  <si>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</si>
  <si>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</si>
  <si>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</si>
  <si>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</si>
  <si>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</si>
  <si>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</si>
  <si>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</si>
  <si>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</si>
  <si>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</si>
  <si>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</si>
  <si>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</si>
  <si>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</si>
  <si>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</si>
  <si>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</si>
  <si>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</si>
  <si>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</si>
  <si>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</si>
  <si>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</si>
  <si>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</si>
  <si>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</si>
  <si>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</si>
  <si>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</si>
  <si>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</si>
  <si>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</si>
  <si>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</si>
  <si>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</si>
  <si>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</si>
  <si>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</si>
  <si>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</si>
  <si>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</si>
  <si>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</si>
  <si>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</si>
  <si>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</si>
  <si>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</si>
  <si>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</si>
  <si>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</si>
  <si>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</si>
  <si>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</si>
  <si>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</si>
  <si>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</si>
  <si>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</si>
  <si>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</si>
  <si>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</si>
  <si>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</si>
  <si>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</si>
  <si>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</si>
  <si>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</si>
  <si>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</si>
  <si>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</si>
  <si>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</si>
  <si>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</si>
  <si>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</si>
  <si>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</si>
  <si>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</si>
  <si>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</si>
  <si>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</si>
  <si>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</si>
  <si>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</si>
  <si>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</si>
  <si>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</si>
  <si>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</si>
  <si>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</si>
  <si>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</si>
  <si>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</si>
  <si>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</si>
  <si>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</si>
  <si>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</si>
  <si>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</si>
  <si>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</si>
  <si>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</si>
  <si>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</si>
  <si>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</si>
  <si>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</si>
  <si>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</si>
  <si>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</si>
  <si>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</si>
  <si>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</si>
  <si>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</si>
  <si>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</si>
  <si>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</si>
  <si>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</si>
  <si>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</si>
  <si>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</si>
  <si>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</si>
  <si>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</si>
  <si>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</si>
  <si>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</si>
  <si>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</si>
  <si>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</si>
  <si>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</si>
  <si>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</si>
  <si>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</si>
  <si>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</si>
  <si>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</si>
  <si>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</si>
  <si>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</si>
  <si>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</si>
  <si>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</si>
  <si>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</si>
  <si>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</si>
  <si>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</si>
  <si>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</si>
  <si>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</si>
  <si>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</si>
  <si>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</si>
  <si>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</si>
  <si>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</si>
  <si>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</si>
  <si>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</si>
  <si>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</si>
  <si>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</si>
  <si>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</si>
  <si>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</si>
  <si>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</si>
  <si>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</si>
  <si>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</si>
  <si>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</si>
  <si>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</si>
  <si>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</si>
  <si>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</si>
  <si>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</si>
  <si>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</si>
  <si>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</si>
  <si>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</si>
  <si>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</si>
  <si>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</si>
  <si>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</si>
  <si>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</si>
  <si>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</si>
  <si>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</si>
  <si>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</si>
  <si>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</si>
  <si>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</si>
  <si>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</si>
  <si>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</si>
  <si>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</si>
  <si>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</si>
  <si>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</si>
  <si>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</si>
  <si>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</si>
  <si>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</si>
  <si>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</si>
  <si>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</si>
  <si>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</si>
  <si>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</si>
  <si>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</si>
  <si>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</si>
  <si>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</si>
  <si>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</si>
  <si>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</si>
  <si>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</si>
  <si>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</si>
  <si>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</si>
  <si>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</si>
  <si>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</si>
  <si>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</si>
  <si>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</si>
  <si>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</si>
  <si>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</si>
  <si>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</si>
  <si>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</si>
  <si>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</si>
  <si>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</si>
  <si>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</si>
  <si>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</si>
  <si>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</si>
  <si>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</si>
  <si>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</si>
  <si>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</si>
  <si>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</si>
  <si>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</si>
  <si>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</si>
  <si>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</si>
  <si>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</si>
  <si>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</si>
  <si>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</si>
  <si>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</si>
  <si>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</si>
  <si>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</si>
  <si>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</si>
  <si>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</si>
  <si>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</si>
  <si>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</si>
  <si>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</si>
  <si>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</si>
  <si>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</si>
  <si>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</si>
  <si>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</si>
  <si>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</si>
  <si>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</si>
  <si>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</si>
  <si>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</si>
  <si>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</si>
  <si>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</si>
  <si>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</si>
  <si>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</si>
  <si>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</si>
  <si>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</si>
  <si>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</si>
  <si>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</si>
  <si>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</si>
  <si>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</si>
  <si>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</si>
  <si>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</si>
  <si>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</si>
  <si>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</si>
  <si>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</si>
  <si>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</si>
  <si>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</si>
  <si>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</si>
  <si>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</si>
  <si>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</si>
  <si>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</si>
  <si>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</si>
  <si>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</si>
  <si>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</si>
  <si>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</si>
  <si>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</si>
  <si>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</si>
  <si>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</si>
  <si>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</si>
  <si>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</si>
  <si>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</si>
  <si>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</si>
  <si>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</si>
  <si>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</si>
  <si>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</si>
  <si>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</si>
  <si>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</si>
  <si>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</si>
  <si>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</si>
  <si>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</si>
  <si>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</si>
  <si>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</si>
  <si>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</si>
  <si>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</si>
  <si>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</si>
  <si>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</si>
  <si>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</si>
  <si>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</si>
  <si>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</si>
  <si>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</si>
  <si>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</si>
  <si>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</si>
  <si>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</si>
  <si>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</si>
  <si>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</si>
  <si>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</si>
  <si>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</si>
  <si>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</si>
  <si>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</si>
  <si>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</si>
  <si>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</si>
  <si>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</si>
  <si>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</si>
  <si>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</si>
  <si>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</si>
  <si>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</si>
  <si>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</si>
  <si>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</si>
  <si>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</si>
  <si>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</si>
  <si>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</si>
  <si>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</si>
  <si>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</si>
  <si>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</si>
  <si>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</si>
  <si>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</si>
  <si>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</si>
  <si>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</si>
  <si>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</si>
  <si>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</si>
  <si>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</si>
  <si>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</si>
  <si>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</si>
  <si>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</si>
  <si>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</si>
  <si>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</si>
  <si>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</si>
  <si>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</si>
  <si>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</si>
  <si>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</si>
  <si>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</si>
  <si>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</si>
  <si>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</si>
  <si>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</si>
  <si>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</si>
  <si>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</si>
  <si>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</si>
  <si>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</si>
  <si>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</si>
  <si>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</si>
  <si>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</si>
  <si>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</si>
  <si>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</si>
  <si>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</si>
  <si>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</si>
  <si>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</si>
  <si>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</si>
  <si>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</si>
  <si>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</si>
  <si>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</si>
  <si>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</si>
  <si>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</si>
  <si>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</si>
  <si>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</si>
  <si>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</si>
  <si>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</si>
  <si>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</si>
  <si>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</si>
  <si>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</si>
  <si>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</si>
  <si>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</si>
  <si>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</si>
  <si>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</si>
  <si>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</si>
  <si>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</si>
  <si>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</si>
  <si>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</si>
  <si>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</si>
  <si>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</si>
  <si>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</si>
  <si>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</si>
  <si>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</si>
  <si>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</si>
  <si>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</si>
  <si>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</si>
  <si>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</si>
  <si>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</si>
  <si>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</si>
  <si>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</si>
  <si>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</si>
  <si>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</si>
  <si>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</si>
  <si>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</si>
  <si>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</si>
  <si>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</si>
  <si>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</si>
  <si>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</si>
  <si>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</si>
  <si>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</si>
  <si>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</si>
  <si>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</si>
  <si>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</si>
  <si>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</si>
  <si>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</si>
  <si>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</si>
  <si>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</si>
  <si>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</si>
  <si>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</si>
  <si>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</si>
  <si>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</si>
  <si>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</si>
  <si>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</si>
  <si>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</si>
  <si>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</si>
  <si>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</si>
  <si>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</si>
  <si>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</si>
  <si>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</si>
  <si>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</si>
  <si>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</si>
  <si>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</si>
  <si>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</si>
  <si>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</si>
  <si>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</si>
  <si>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</si>
  <si>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</si>
  <si>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</si>
  <si>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</si>
  <si>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</si>
  <si>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</si>
  <si>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</si>
  <si>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</si>
  <si>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</si>
  <si>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</si>
  <si>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</si>
  <si>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</si>
  <si>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</si>
  <si>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</si>
  <si>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</si>
  <si>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</si>
  <si>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</si>
  <si>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</si>
  <si>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</si>
  <si>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</si>
  <si>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</si>
  <si>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</si>
  <si>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</si>
  <si>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</si>
  <si>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</si>
  <si>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</si>
  <si>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</si>
  <si>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</si>
  <si>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</si>
  <si>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</si>
  <si>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</si>
  <si>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</si>
  <si>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</si>
  <si>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</si>
  <si>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</si>
  <si>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</si>
  <si>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</si>
  <si>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</si>
  <si>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</si>
  <si>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</si>
  <si>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</si>
  <si>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</si>
  <si>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</si>
  <si>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</si>
  <si>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</si>
  <si>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</si>
  <si>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</si>
  <si>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</si>
  <si>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</si>
  <si>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</si>
  <si>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</si>
  <si>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</si>
  <si>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</si>
  <si>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</si>
  <si>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</si>
  <si>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</si>
  <si>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</si>
  <si>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</si>
  <si>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</si>
  <si>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</si>
  <si>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</si>
  <si>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</si>
  <si>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</si>
  <si>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</si>
  <si>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</si>
  <si>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</si>
  <si>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</si>
  <si>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</si>
  <si>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</si>
  <si>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</si>
  <si>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</si>
  <si>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</si>
  <si>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</si>
  <si>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</si>
  <si>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</si>
  <si>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</si>
  <si>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</si>
  <si>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</si>
  <si>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</si>
  <si>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</si>
  <si>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</si>
  <si>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</si>
  <si>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</si>
  <si>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</si>
  <si>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</si>
  <si>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</si>
  <si>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</si>
  <si>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</si>
  <si>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</si>
  <si>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</si>
  <si>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</si>
  <si>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</si>
  <si>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</si>
  <si>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</si>
  <si>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</si>
  <si>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</si>
  <si>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</si>
  <si>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</si>
  <si>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</si>
  <si>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</si>
  <si>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</si>
  <si>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</si>
  <si>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</si>
  <si>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</si>
  <si>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</si>
  <si>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</si>
  <si>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</si>
  <si>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</si>
  <si>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</si>
  <si>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</si>
  <si>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</si>
  <si>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</si>
  <si>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</si>
  <si>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</si>
  <si>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</si>
  <si>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</si>
  <si>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</si>
  <si>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</si>
  <si>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</si>
  <si>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</si>
  <si>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</si>
  <si>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</si>
  <si>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</si>
  <si>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</si>
  <si>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</si>
  <si>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</si>
  <si>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</si>
  <si>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</si>
  <si>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</si>
  <si>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</si>
  <si>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</si>
  <si>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</si>
  <si>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</si>
  <si>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</si>
  <si>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</si>
  <si>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</si>
  <si>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</si>
  <si>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</si>
  <si>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</si>
  <si>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</si>
  <si>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</si>
  <si>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</si>
  <si>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</si>
  <si>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</si>
  <si>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</si>
  <si>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</si>
  <si>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</si>
  <si>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</si>
  <si>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</si>
  <si>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</si>
  <si>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</si>
  <si>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</si>
  <si>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</si>
  <si>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</si>
  <si>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</si>
  <si>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</si>
  <si>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</si>
  <si>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</si>
  <si>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</si>
  <si>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</si>
  <si>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</si>
  <si>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</si>
  <si>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</si>
  <si>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</si>
  <si>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</si>
  <si>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</si>
  <si>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</si>
  <si>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</si>
  <si>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</si>
  <si>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</si>
  <si>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</si>
  <si>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</si>
  <si>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</si>
  <si>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</si>
  <si>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</si>
  <si>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</si>
  <si>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</si>
  <si>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</si>
  <si>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</si>
  <si>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</si>
  <si>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</si>
  <si>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</si>
  <si>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</si>
  <si>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</si>
  <si>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</si>
  <si>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</si>
  <si>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</si>
  <si>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</si>
  <si>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</si>
  <si>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</si>
  <si>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</si>
  <si>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</si>
  <si>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</si>
  <si>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</si>
  <si>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</si>
  <si>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</si>
  <si>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</si>
  <si>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</si>
  <si>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</si>
  <si>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</si>
  <si>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</si>
  <si>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</si>
  <si>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</si>
  <si>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</si>
  <si>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</si>
  <si>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</si>
  <si>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</si>
  <si>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</si>
  <si>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</si>
  <si>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</si>
  <si>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</si>
  <si>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</si>
  <si>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</si>
  <si>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</si>
  <si>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</si>
  <si>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</si>
  <si>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</si>
  <si>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</si>
  <si>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</si>
  <si>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</si>
  <si>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</si>
  <si>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</si>
  <si>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</si>
  <si>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</si>
  <si>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</si>
  <si>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</si>
  <si>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</si>
  <si>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</si>
  <si>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</si>
  <si>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</si>
  <si>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</si>
  <si>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</si>
  <si>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</si>
  <si>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</si>
  <si>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</si>
  <si>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</si>
  <si>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</si>
  <si>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</si>
  <si>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</si>
  <si>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</si>
  <si>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</si>
  <si>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</si>
  <si>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</si>
  <si>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</si>
  <si>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</si>
  <si>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</si>
  <si>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</si>
  <si>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</si>
  <si>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</si>
  <si>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</si>
  <si>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</si>
  <si>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</si>
  <si>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</si>
  <si>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</si>
  <si>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</si>
  <si>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</si>
  <si>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</si>
  <si>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</si>
  <si>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</si>
  <si>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</si>
  <si>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</si>
  <si>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</si>
  <si>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</si>
  <si>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</si>
  <si>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</si>
  <si>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</si>
  <si>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</si>
  <si>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</si>
  <si>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</si>
  <si>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</si>
  <si>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</si>
  <si>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</si>
  <si>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</si>
  <si>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</si>
  <si>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</si>
  <si>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</si>
  <si>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</si>
  <si>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</si>
  <si>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</si>
  <si>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</si>
  <si>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</si>
  <si>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</si>
  <si>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</si>
  <si>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</si>
  <si>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</si>
  <si>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</si>
  <si>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</si>
  <si>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</si>
  <si>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</si>
  <si>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</si>
  <si>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</si>
  <si>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</si>
  <si>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</si>
  <si>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</si>
  <si>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</si>
  <si>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</si>
  <si>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</si>
  <si>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</si>
  <si>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</si>
  <si>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</si>
  <si>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</si>
  <si>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</si>
  <si>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</si>
  <si>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</si>
  <si>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</si>
  <si>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</si>
  <si>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</si>
  <si>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</si>
  <si>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</si>
  <si>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</si>
  <si>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</si>
  <si>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</si>
  <si>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</si>
  <si>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</si>
  <si>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</si>
  <si>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</si>
  <si>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</si>
  <si>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</si>
  <si>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</si>
  <si>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</si>
  <si>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</si>
  <si>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</si>
  <si>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</si>
  <si>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</si>
  <si>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</si>
  <si>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</si>
  <si>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</si>
  <si>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</si>
  <si>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</si>
  <si>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</si>
  <si>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</si>
  <si>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</si>
  <si>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</si>
  <si>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</si>
  <si>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</si>
  <si>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</si>
  <si>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</si>
  <si>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</si>
  <si>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</si>
  <si>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</si>
  <si>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</si>
  <si>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</si>
  <si>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</si>
  <si>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</si>
  <si>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</si>
  <si>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</si>
  <si>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</si>
  <si>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</si>
  <si>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</si>
  <si>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</si>
  <si>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</si>
  <si>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</si>
  <si>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</si>
  <si>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</si>
  <si>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</si>
  <si>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</si>
  <si>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</si>
  <si>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</si>
  <si>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</si>
  <si>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</si>
  <si>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</si>
  <si>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</si>
  <si>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</si>
  <si>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</si>
  <si>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</si>
  <si>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</si>
  <si>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</si>
  <si>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</si>
  <si>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</si>
  <si>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</si>
  <si>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</si>
  <si>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</si>
  <si>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</si>
  <si>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</si>
  <si>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</si>
  <si>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</si>
  <si>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</si>
  <si>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</si>
  <si>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</si>
  <si>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</si>
  <si>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</si>
  <si>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</si>
  <si>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</si>
  <si>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</si>
  <si>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</si>
  <si>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</si>
  <si>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</si>
  <si>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</si>
  <si>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</si>
  <si>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</si>
  <si>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</si>
  <si>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</si>
  <si>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</si>
  <si>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</si>
  <si>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</si>
  <si>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</si>
  <si>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</si>
  <si>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</si>
  <si>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</si>
  <si>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</si>
  <si>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</si>
  <si>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</si>
  <si>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</si>
  <si>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</si>
  <si>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</si>
  <si>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</si>
  <si>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</si>
  <si>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</si>
  <si>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</si>
  <si>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</si>
  <si>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</si>
  <si>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</si>
  <si>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</si>
  <si>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</si>
  <si>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</si>
  <si>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</si>
  <si>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</si>
  <si>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</si>
  <si>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</si>
  <si>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</si>
  <si>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</si>
  <si>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</si>
  <si>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</si>
  <si>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</si>
  <si>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</si>
  <si>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</si>
  <si>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</si>
  <si>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</si>
  <si>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</si>
  <si>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</si>
  <si>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</si>
  <si>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</si>
  <si>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</si>
  <si>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</si>
  <si>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</si>
  <si>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</si>
  <si>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</si>
  <si>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</si>
  <si>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</si>
  <si>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</si>
  <si>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</si>
  <si>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</si>
  <si>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</si>
  <si>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</si>
  <si>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</si>
  <si>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</si>
  <si>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</si>
  <si>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</si>
  <si>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</si>
  <si>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</si>
  <si>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</si>
  <si>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</si>
  <si>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</si>
  <si>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</si>
  <si>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</si>
  <si>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</si>
  <si>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</si>
  <si>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</si>
  <si>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</si>
  <si>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</si>
  <si>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</si>
  <si>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</si>
  <si>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</si>
  <si>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</si>
  <si>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</si>
  <si>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</si>
  <si>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</si>
  <si>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</si>
  <si>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</si>
  <si>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</si>
  <si>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</si>
  <si>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</si>
  <si>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</si>
  <si>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</si>
  <si>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</si>
  <si>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</si>
  <si>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</si>
  <si>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</si>
  <si>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</si>
  <si>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</si>
  <si>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</si>
  <si>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</si>
  <si>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</si>
  <si>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</si>
  <si>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</si>
  <si>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</si>
  <si>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</si>
  <si>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</si>
  <si>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</si>
  <si>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</si>
  <si>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</si>
  <si>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</si>
  <si>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</si>
  <si>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</si>
  <si>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</si>
  <si>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</si>
  <si>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</si>
  <si>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</si>
  <si>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</si>
  <si>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</si>
  <si>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</si>
  <si>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</si>
  <si>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</si>
  <si>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</si>
  <si>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</si>
  <si>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</si>
  <si>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</si>
  <si>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</si>
  <si>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</si>
  <si>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</si>
  <si>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</si>
  <si>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</si>
  <si>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</si>
  <si>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</si>
  <si>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</si>
  <si>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</si>
  <si>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</si>
  <si>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</si>
  <si>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</si>
  <si>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</si>
  <si>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</si>
  <si>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</si>
  <si>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</si>
  <si>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</si>
  <si>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</si>
  <si>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</si>
  <si>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</si>
  <si>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</si>
  <si>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</si>
  <si>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</si>
  <si>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</si>
  <si>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</si>
  <si>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</si>
  <si>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</si>
  <si>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</si>
  <si>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</si>
  <si>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</si>
  <si>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</si>
  <si>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</si>
  <si>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</si>
  <si>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</si>
  <si>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</si>
  <si>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</si>
  <si>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</si>
  <si>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</si>
  <si>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</si>
  <si>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</si>
  <si>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</si>
  <si>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</si>
  <si>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</si>
  <si>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</si>
  <si>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</si>
  <si>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</si>
  <si>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</si>
  <si>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</si>
  <si>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</si>
  <si>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</si>
  <si>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</si>
  <si>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</si>
  <si>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</si>
  <si>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</si>
  <si>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</si>
  <si>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</si>
  <si>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</si>
  <si>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</si>
  <si>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</si>
  <si>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</si>
  <si>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</si>
  <si>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</si>
  <si>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</si>
  <si>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</si>
  <si>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</si>
  <si>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</si>
  <si>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</si>
  <si>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</si>
  <si>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</si>
  <si>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</si>
  <si>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</si>
  <si>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</si>
  <si>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</si>
  <si>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</si>
  <si>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</si>
  <si>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</si>
  <si>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</si>
  <si>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</si>
  <si>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</si>
  <si>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</si>
  <si>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</si>
  <si>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</si>
  <si>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</si>
  <si>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</si>
  <si>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</si>
  <si>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</si>
  <si>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</si>
  <si>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</si>
  <si>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</si>
  <si>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</si>
  <si>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</si>
  <si>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</si>
  <si>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</si>
  <si>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</si>
  <si>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</si>
  <si>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</si>
  <si>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</si>
  <si>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</si>
  <si>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</si>
  <si>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</si>
  <si>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</si>
  <si>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</si>
  <si>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</si>
  <si>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</si>
  <si>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</si>
  <si>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</si>
  <si>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</si>
  <si>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</si>
  <si>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</si>
  <si>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</si>
  <si>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</si>
  <si>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</si>
  <si>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</si>
  <si>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</si>
  <si>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</si>
  <si>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</si>
  <si>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</si>
  <si>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</si>
  <si>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</si>
  <si>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</si>
  <si>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</si>
  <si>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</si>
  <si>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</si>
  <si>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</si>
  <si>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</si>
  <si>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</si>
  <si>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</si>
  <si>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</si>
  <si>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</si>
  <si>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</si>
  <si>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</si>
  <si>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</si>
  <si>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</si>
  <si>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</si>
  <si>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</si>
  <si>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</si>
  <si>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</si>
  <si>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</si>
  <si>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</si>
  <si>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</si>
  <si>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</si>
  <si>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</si>
  <si>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</si>
  <si>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</si>
  <si>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</si>
  <si>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</si>
  <si>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</si>
  <si>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</si>
  <si>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</si>
  <si>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</si>
  <si>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</si>
  <si>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</si>
  <si>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</si>
  <si>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</si>
  <si>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</si>
  <si>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</si>
  <si>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</si>
  <si>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</si>
  <si>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</si>
  <si>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</si>
  <si>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</si>
  <si>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</si>
  <si>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</si>
  <si>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</si>
  <si>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</si>
  <si>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</si>
  <si>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</si>
  <si>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</si>
  <si>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</si>
  <si>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</si>
  <si>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</si>
  <si>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</si>
  <si>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</si>
  <si>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</si>
  <si>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</si>
  <si>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</si>
  <si>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</si>
  <si>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</si>
  <si>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</si>
  <si>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</si>
  <si>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</si>
  <si>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</si>
  <si>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</si>
  <si>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</si>
  <si>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</si>
  <si>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</si>
  <si>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</si>
  <si>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</si>
  <si>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</si>
  <si>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</si>
  <si>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</si>
  <si>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</si>
  <si>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</si>
  <si>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</si>
  <si>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</si>
  <si>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</si>
  <si>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</si>
  <si>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</si>
  <si>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</si>
  <si>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</si>
  <si>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</si>
  <si>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</si>
  <si>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</si>
  <si>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</si>
  <si>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</si>
  <si>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</si>
  <si>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</si>
  <si>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</si>
  <si>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</si>
  <si>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</si>
  <si>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</si>
  <si>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</si>
  <si>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</si>
  <si>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</si>
  <si>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</si>
  <si>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</si>
  <si>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</si>
  <si>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</si>
  <si>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</si>
  <si>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</si>
  <si>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</si>
  <si>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</si>
  <si>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</si>
  <si>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</si>
  <si>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</si>
  <si>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</si>
  <si>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</si>
  <si>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</si>
  <si>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</si>
  <si>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</si>
  <si>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</si>
  <si>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</si>
  <si>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</si>
  <si>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</si>
  <si>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</si>
  <si>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</si>
  <si>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</si>
  <si>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</si>
  <si>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</si>
  <si>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</si>
  <si>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</si>
  <si>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</si>
  <si>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</si>
  <si>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</si>
  <si>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</si>
  <si>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</si>
  <si>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</si>
  <si>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</si>
  <si>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</si>
  <si>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</si>
  <si>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</si>
  <si>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</si>
  <si>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</si>
  <si>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</si>
  <si>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</si>
  <si>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</si>
  <si>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</si>
  <si>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</si>
  <si>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</si>
  <si>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</si>
  <si>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</si>
  <si>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</si>
  <si>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</si>
  <si>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</si>
  <si>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</si>
  <si>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</si>
  <si>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</si>
  <si>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</si>
  <si>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</si>
  <si>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</si>
  <si>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</si>
  <si>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</si>
  <si>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</si>
  <si>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</si>
  <si>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</si>
  <si>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</si>
  <si>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</si>
  <si>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</si>
  <si>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</si>
  <si>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</si>
  <si>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</si>
  <si>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</si>
  <si>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</si>
  <si>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</si>
  <si>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</si>
  <si>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</si>
  <si>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</si>
  <si>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</si>
  <si>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</si>
  <si>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</si>
  <si>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</si>
  <si>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</si>
  <si>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</si>
  <si>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</si>
  <si>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</si>
  <si>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</si>
  <si>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</si>
  <si>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</si>
  <si>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</si>
  <si>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</si>
  <si>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</si>
  <si>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</si>
  <si>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</si>
  <si>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</si>
  <si>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</si>
  <si>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</si>
  <si>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</si>
  <si>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</si>
  <si>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</si>
  <si>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</si>
  <si>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</si>
  <si>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</si>
  <si>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</si>
  <si>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</si>
  <si>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</si>
  <si>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</si>
  <si>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</si>
  <si>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</si>
  <si>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</si>
  <si>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</si>
  <si>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</si>
  <si>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</si>
  <si>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</si>
  <si>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</si>
  <si>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</si>
  <si>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</si>
  <si>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</si>
  <si>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</si>
  <si>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</si>
  <si>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</si>
  <si>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</si>
  <si>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</si>
  <si>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</si>
  <si>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</si>
  <si>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</si>
  <si>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</si>
  <si>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</si>
  <si>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</si>
  <si>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</si>
  <si>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</si>
  <si>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</si>
  <si>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</si>
  <si>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</si>
  <si>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</si>
  <si>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</si>
  <si>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</si>
  <si>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</si>
  <si>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</si>
  <si>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</si>
  <si>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</si>
  <si>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</si>
  <si>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</si>
  <si>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</si>
  <si>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</si>
  <si>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</si>
  <si>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</si>
  <si>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</si>
  <si>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</si>
  <si>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</si>
  <si>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</si>
  <si>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</si>
  <si>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</si>
  <si>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</si>
  <si>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</si>
  <si>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</si>
  <si>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</si>
  <si>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</si>
  <si>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</si>
  <si>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</si>
  <si>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</si>
  <si>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</si>
  <si>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</si>
  <si>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</si>
  <si>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</si>
  <si>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</si>
  <si>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</si>
  <si>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</si>
  <si>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</si>
  <si>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</si>
  <si>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</si>
  <si>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</si>
  <si>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</si>
  <si>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</si>
  <si>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</si>
  <si>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</si>
  <si>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</si>
  <si>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</si>
  <si>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</si>
  <si>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</si>
  <si>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</si>
  <si>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</si>
  <si>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</si>
  <si>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</si>
  <si>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</si>
  <si>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</si>
  <si>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</si>
  <si>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</si>
  <si>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</si>
  <si>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</si>
  <si>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</si>
  <si>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</si>
  <si>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</si>
  <si>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</si>
  <si>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</si>
  <si>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</si>
  <si>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</si>
  <si>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</si>
  <si>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</si>
  <si>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</si>
  <si>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</si>
  <si>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</si>
  <si>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</si>
  <si>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</si>
  <si>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</si>
  <si>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</si>
  <si>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</si>
  <si>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</si>
  <si>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</si>
  <si>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</si>
  <si>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</si>
  <si>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</si>
  <si>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</si>
  <si>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</si>
  <si>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</si>
  <si>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</si>
  <si>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</si>
  <si>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</si>
  <si>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</si>
  <si>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</si>
  <si>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</si>
  <si>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</si>
  <si>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</si>
  <si>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</si>
  <si>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</si>
  <si>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</si>
  <si>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</si>
  <si>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</si>
  <si>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</si>
  <si>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</si>
  <si>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</si>
  <si>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</si>
  <si>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</si>
  <si>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</si>
  <si>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</si>
  <si>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</si>
  <si>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</si>
  <si>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</si>
  <si>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</si>
  <si>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</si>
  <si>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</si>
  <si>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</si>
  <si>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</si>
  <si>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</si>
  <si>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</si>
  <si>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</si>
  <si>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</si>
  <si>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</si>
  <si>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</si>
  <si>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</si>
  <si>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</si>
  <si>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</si>
  <si>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</si>
  <si>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</si>
  <si>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</si>
  <si>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</si>
  <si>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</si>
  <si>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</si>
  <si>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</si>
  <si>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</si>
  <si>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</si>
  <si>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</si>
  <si>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</si>
  <si>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</si>
  <si>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</si>
  <si>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</si>
  <si>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</si>
  <si>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</si>
  <si>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</si>
  <si>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</si>
  <si>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</si>
  <si>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</si>
  <si>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</si>
  <si>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</si>
  <si>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</si>
  <si>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</si>
  <si>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</si>
  <si>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</si>
  <si>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</si>
  <si>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</si>
  <si>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</si>
  <si>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</si>
  <si>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</si>
  <si>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</si>
  <si>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</si>
  <si>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</si>
  <si>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</si>
  <si>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</si>
  <si>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</si>
  <si>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</si>
  <si>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</si>
  <si>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</si>
  <si>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</si>
  <si>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</si>
  <si>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</si>
  <si>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</si>
  <si>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</si>
  <si>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</si>
  <si>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</si>
  <si>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</si>
  <si>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</si>
  <si>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</si>
  <si>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</si>
  <si>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</si>
  <si>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</si>
  <si>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</si>
  <si>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</si>
  <si>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</si>
  <si>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</si>
  <si>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</si>
  <si>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</si>
  <si>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</si>
  <si>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</si>
  <si>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</si>
  <si>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</si>
  <si>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</si>
  <si>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</si>
  <si>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</si>
  <si>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</si>
  <si>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</si>
  <si>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</si>
  <si>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</si>
  <si>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</si>
  <si>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</si>
  <si>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</si>
  <si>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</si>
  <si>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</si>
  <si>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</si>
  <si>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</si>
  <si>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</si>
  <si>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</si>
  <si>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</si>
  <si>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</si>
  <si>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</si>
  <si>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</si>
  <si>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</si>
  <si>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</si>
  <si>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</si>
  <si>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</si>
  <si>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</si>
  <si>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</si>
  <si>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</si>
  <si>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</si>
  <si>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</si>
  <si>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</si>
  <si>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</si>
  <si>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</si>
  <si>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</si>
  <si>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</si>
  <si>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</si>
  <si>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</si>
  <si>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</si>
  <si>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</si>
  <si>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</si>
  <si>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</si>
  <si>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</si>
  <si>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</si>
  <si>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</si>
  <si>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</si>
  <si>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</si>
  <si>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</si>
  <si>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</si>
  <si>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</si>
  <si>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</si>
  <si>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</si>
  <si>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</si>
  <si>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</si>
  <si>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</si>
  <si>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</si>
  <si>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</si>
  <si>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</si>
  <si>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</si>
  <si>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</si>
  <si>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</si>
  <si>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</si>
  <si>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</si>
  <si>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</si>
  <si>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</si>
  <si>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</si>
  <si>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</si>
  <si>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</si>
  <si>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</si>
  <si>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</si>
  <si>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</si>
  <si>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</si>
  <si>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</si>
  <si>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</si>
  <si>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</si>
  <si>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</si>
  <si>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</si>
  <si>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</si>
  <si>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</si>
  <si>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</si>
  <si>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</si>
  <si>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</si>
  <si>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</si>
  <si>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</si>
  <si>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</si>
  <si>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</si>
  <si>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</si>
  <si>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</si>
  <si>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</si>
  <si>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</si>
  <si>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</si>
  <si>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</si>
  <si>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</si>
  <si>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</si>
  <si>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</si>
  <si>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</si>
  <si>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</si>
  <si>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</si>
  <si>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</si>
  <si>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</si>
  <si>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</si>
  <si>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</si>
  <si>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</si>
  <si>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</si>
  <si>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</si>
  <si>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</si>
  <si>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</si>
  <si>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</si>
  <si>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</si>
  <si>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</si>
  <si>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</si>
  <si>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</si>
  <si>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</si>
  <si>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</si>
  <si>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</si>
  <si>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</si>
  <si>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</si>
  <si>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</si>
  <si>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</si>
  <si>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</si>
  <si>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</si>
  <si>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</si>
  <si>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</si>
  <si>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</si>
  <si>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</si>
  <si>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</si>
  <si>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</si>
  <si>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</si>
  <si>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</si>
  <si>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</si>
  <si>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</si>
  <si>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</si>
  <si>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</si>
  <si>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</si>
  <si>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</si>
  <si>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</si>
  <si>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</si>
  <si>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</si>
  <si>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</si>
  <si>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</si>
  <si>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</si>
  <si>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</si>
  <si>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</si>
  <si>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</si>
  <si>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</si>
  <si>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</si>
  <si>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</si>
  <si>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</si>
  <si>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</si>
  <si>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</si>
  <si>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</si>
  <si>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</si>
  <si>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</si>
  <si>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</si>
  <si>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</si>
  <si>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</si>
  <si>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</si>
  <si>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</si>
  <si>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</si>
  <si>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</si>
  <si>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</si>
  <si>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</si>
  <si>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</si>
  <si>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</si>
  <si>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</si>
  <si>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</si>
  <si>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</si>
  <si>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</si>
  <si>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</si>
  <si>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</si>
  <si>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</si>
  <si>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</si>
  <si>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</si>
  <si>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</si>
  <si>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</si>
  <si>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</si>
  <si>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</si>
  <si>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</si>
  <si>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</si>
  <si>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</si>
  <si>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</si>
  <si>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</si>
  <si>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</si>
  <si>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</si>
  <si>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</si>
  <si>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</si>
  <si>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</si>
  <si>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</si>
  <si>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</si>
  <si>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</si>
  <si>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</si>
  <si>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</si>
  <si>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</si>
  <si>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</si>
  <si>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</si>
  <si>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</si>
  <si>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</si>
  <si>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</si>
  <si>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</si>
  <si>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</si>
  <si>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</si>
  <si>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</si>
  <si>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</si>
  <si>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</si>
  <si>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</si>
  <si>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</si>
  <si>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</si>
  <si>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</si>
  <si>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</si>
  <si>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</si>
  <si>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</si>
  <si>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</si>
  <si>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</si>
  <si>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</si>
  <si>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</si>
  <si>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</si>
  <si>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</si>
  <si>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</si>
  <si>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</si>
  <si>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</si>
  <si>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</si>
  <si>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</si>
  <si>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</si>
  <si>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</si>
  <si>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</si>
  <si>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</si>
  <si>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</si>
  <si>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</si>
  <si>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</si>
  <si>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</si>
  <si>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</si>
  <si>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</si>
  <si>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</si>
  <si>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</si>
  <si>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</si>
  <si>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</si>
  <si>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</si>
  <si>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</si>
  <si>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</si>
  <si>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</si>
  <si>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</si>
  <si>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</si>
  <si>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</si>
  <si>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</si>
  <si>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</si>
  <si>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</si>
  <si>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</si>
  <si>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</si>
  <si>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</si>
  <si>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</si>
  <si>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</si>
  <si>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</si>
  <si>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</si>
  <si>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</si>
  <si>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</si>
  <si>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</si>
  <si>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</si>
  <si>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</si>
  <si>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</si>
  <si>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</si>
  <si>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</si>
  <si>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</si>
  <si>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</si>
  <si>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</si>
  <si>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</si>
  <si>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</si>
  <si>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</si>
  <si>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</si>
  <si>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</si>
  <si>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</si>
  <si>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</si>
  <si>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</si>
  <si>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</si>
  <si>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</si>
  <si>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</si>
  <si>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</si>
  <si>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</si>
  <si>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</si>
  <si>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</si>
  <si>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</si>
  <si>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</si>
  <si>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</si>
  <si>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</si>
  <si>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</si>
  <si>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</si>
  <si>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</si>
  <si>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</si>
  <si>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</si>
  <si>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</si>
  <si>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</si>
  <si>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</si>
  <si>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</si>
  <si>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</si>
  <si>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</si>
  <si>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</si>
  <si>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</si>
  <si>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</si>
  <si>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</si>
  <si>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</si>
  <si>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</si>
  <si>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</si>
  <si>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</si>
  <si>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</si>
  <si>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</si>
  <si>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</si>
  <si>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</si>
  <si>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</si>
  <si>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</si>
  <si>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</si>
  <si>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</si>
  <si>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</si>
  <si>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</si>
  <si>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</si>
  <si>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</si>
  <si>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</si>
  <si>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</si>
  <si>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</si>
  <si>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</si>
  <si>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</si>
  <si>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</si>
  <si>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</si>
  <si>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</si>
  <si>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</si>
  <si>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</si>
  <si>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</si>
  <si>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</si>
  <si>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</si>
  <si>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</si>
  <si>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</si>
  <si>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</si>
  <si>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</si>
  <si>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</si>
  <si>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</si>
  <si>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</si>
  <si>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</si>
  <si>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</si>
  <si>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</si>
  <si>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</si>
  <si>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</si>
  <si>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</si>
  <si>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</si>
  <si>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</si>
  <si>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</si>
  <si>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</si>
  <si>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</si>
  <si>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</si>
  <si>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</si>
  <si>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</si>
  <si>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</si>
  <si>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</si>
  <si>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</si>
  <si>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</si>
  <si>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</si>
  <si>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</si>
  <si>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</si>
  <si>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</si>
  <si>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</si>
  <si>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</si>
  <si>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</si>
  <si>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</si>
  <si>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</si>
  <si>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</si>
  <si>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</si>
  <si>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</si>
  <si>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</si>
  <si>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</si>
  <si>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</si>
  <si>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</si>
  <si>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</si>
  <si>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</si>
  <si>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</si>
  <si>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</si>
  <si>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</si>
  <si>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</si>
  <si>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</si>
  <si>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</si>
  <si>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</si>
  <si>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</si>
  <si>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</si>
  <si>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</si>
  <si>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</si>
  <si>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</si>
  <si>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</si>
  <si>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</si>
  <si>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</si>
  <si>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</si>
  <si>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</si>
  <si>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</si>
  <si>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</si>
  <si>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</si>
  <si>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</si>
  <si>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</si>
  <si>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</si>
  <si>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</si>
  <si>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</si>
  <si>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</si>
  <si>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</si>
  <si>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</si>
  <si>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</si>
  <si>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</si>
  <si>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</si>
  <si>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</si>
  <si>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</si>
  <si>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</si>
  <si>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</si>
  <si>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</si>
  <si>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</si>
  <si>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</si>
  <si>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</si>
  <si>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</si>
  <si>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</si>
  <si>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</si>
  <si>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</si>
  <si>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</si>
  <si>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</si>
  <si>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</si>
  <si>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</si>
  <si>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</si>
  <si>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</si>
  <si>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</si>
  <si>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</si>
  <si>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</si>
  <si>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</si>
  <si>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</si>
  <si>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</si>
  <si>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</si>
  <si>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</si>
  <si>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</si>
  <si>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</si>
  <si>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</si>
  <si>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</si>
  <si>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</si>
  <si>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</si>
  <si>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</si>
  <si>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</si>
  <si>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</si>
  <si>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</si>
  <si>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</si>
  <si>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</si>
  <si>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</si>
  <si>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</si>
  <si>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</si>
  <si>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</si>
  <si>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</si>
  <si>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</si>
  <si>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</si>
  <si>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</si>
  <si>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</si>
  <si>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</si>
  <si>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</si>
  <si>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</si>
  <si>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</si>
  <si>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</si>
  <si>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</si>
  <si>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</si>
  <si>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</si>
  <si>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</si>
  <si>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</si>
  <si>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</si>
  <si>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</si>
  <si>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</si>
  <si>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</si>
  <si>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</si>
  <si>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</si>
  <si>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</si>
  <si>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</si>
  <si>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</si>
  <si>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</si>
  <si>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</si>
  <si>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</si>
  <si>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</si>
  <si>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</si>
  <si>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</si>
  <si>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</si>
  <si>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</si>
  <si>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</si>
  <si>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</si>
  <si>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</si>
  <si>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</si>
  <si>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</si>
  <si>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</si>
  <si>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</si>
  <si>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</si>
  <si>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</si>
  <si>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</si>
  <si>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</si>
  <si>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</si>
  <si>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</si>
  <si>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</si>
  <si>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</si>
  <si>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</si>
  <si>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</si>
  <si>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</si>
  <si>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</si>
  <si>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</si>
  <si>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</si>
  <si>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</si>
  <si>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</si>
  <si>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</si>
  <si>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</si>
  <si>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</si>
  <si>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</si>
  <si>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</si>
  <si>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</si>
  <si>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</si>
  <si>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</si>
  <si>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</si>
  <si>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</si>
  <si>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</si>
  <si>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</si>
  <si>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</si>
  <si>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</si>
  <si>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</si>
  <si>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</si>
  <si>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</si>
  <si>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</si>
  <si>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</si>
  <si>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</si>
  <si>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</si>
  <si>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</si>
  <si>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</si>
  <si>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</si>
  <si>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</si>
  <si>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</si>
  <si>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</si>
  <si>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</si>
  <si>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</si>
  <si>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</si>
  <si>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</si>
  <si>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</si>
  <si>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</si>
  <si>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</si>
  <si>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</si>
  <si>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</si>
  <si>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</si>
  <si>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</si>
  <si>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</si>
  <si>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</si>
  <si>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</si>
  <si>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</si>
  <si>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</si>
  <si>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</si>
  <si>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</si>
  <si>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</si>
  <si>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</si>
  <si>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</si>
  <si>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</si>
  <si>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</si>
  <si>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</si>
  <si>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</si>
  <si>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</si>
  <si>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</si>
  <si>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</si>
  <si>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</si>
  <si>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</si>
  <si>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</si>
  <si>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</si>
  <si>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</si>
  <si>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</si>
  <si>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</si>
  <si>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</si>
  <si>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</si>
  <si>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</si>
  <si>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</si>
  <si>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</si>
  <si>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</si>
  <si>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</si>
  <si>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</si>
  <si>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</si>
  <si>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</si>
  <si>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</si>
  <si>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</si>
  <si>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</si>
  <si>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</si>
  <si>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</si>
  <si>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</si>
  <si>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</si>
  <si>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</si>
  <si>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</si>
  <si>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</si>
  <si>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</si>
  <si>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</si>
  <si>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</si>
  <si>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</si>
  <si>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</si>
  <si>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</si>
  <si>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</si>
  <si>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</si>
  <si>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</si>
  <si>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</si>
  <si>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</si>
  <si>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</si>
  <si>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</si>
  <si>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</si>
  <si>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</si>
  <si>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</si>
  <si>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</si>
  <si>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</si>
  <si>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</si>
  <si>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</si>
  <si>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</si>
  <si>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</si>
  <si>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</si>
  <si>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</si>
  <si>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</si>
  <si>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</si>
  <si>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</si>
  <si>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</si>
  <si>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</si>
  <si>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</si>
  <si>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</si>
  <si>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</si>
  <si>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</si>
  <si>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</si>
  <si>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</si>
  <si>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</si>
  <si>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</si>
  <si>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</si>
  <si>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</si>
  <si>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</si>
  <si>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</si>
  <si>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</si>
  <si>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</si>
  <si>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</si>
  <si>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</si>
  <si>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</si>
  <si>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</si>
  <si>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</si>
  <si>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</si>
  <si>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</si>
  <si>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</si>
  <si>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</si>
  <si>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</si>
  <si>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</si>
  <si>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</si>
  <si>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</si>
  <si>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</si>
  <si>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</si>
  <si>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</si>
  <si>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</si>
  <si>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</si>
  <si>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</si>
  <si>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</si>
  <si>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</si>
  <si>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</si>
  <si>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</si>
  <si>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</si>
  <si>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</si>
  <si>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</si>
  <si>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</si>
  <si>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</si>
  <si>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</si>
  <si>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</si>
  <si>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</si>
  <si>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</si>
  <si>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</si>
  <si>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</si>
  <si>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</si>
  <si>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</si>
  <si>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</si>
  <si>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</si>
  <si>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</si>
  <si>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</si>
  <si>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</si>
  <si>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</si>
  <si>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</si>
  <si>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</si>
  <si>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</si>
  <si>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</si>
  <si>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</si>
  <si>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</si>
  <si>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</si>
  <si>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</si>
  <si>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</si>
  <si>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</si>
  <si>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</si>
  <si>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</si>
  <si>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</si>
  <si>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</si>
  <si>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</si>
  <si>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</si>
  <si>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</si>
  <si>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</si>
  <si>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</si>
  <si>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</si>
  <si>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</si>
  <si>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</si>
  <si>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</si>
  <si>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</si>
  <si>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</si>
  <si>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</si>
  <si>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</si>
  <si>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</si>
  <si>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</si>
  <si>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</si>
  <si>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</si>
  <si>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</si>
  <si>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</si>
  <si>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</si>
  <si>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</si>
  <si>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</si>
  <si>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</si>
  <si>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</si>
  <si>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</si>
  <si>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</si>
  <si>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</si>
  <si>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</si>
  <si>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</si>
  <si>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</si>
  <si>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</si>
  <si>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</si>
  <si>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</si>
  <si>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</si>
  <si>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</si>
  <si>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</si>
  <si>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</si>
  <si>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</si>
  <si>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</si>
  <si>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</si>
  <si>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</si>
  <si>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</si>
  <si>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</si>
  <si>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</si>
  <si>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</si>
  <si>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</si>
  <si>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</si>
  <si>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</si>
  <si>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</si>
  <si>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</si>
  <si>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</si>
  <si>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</si>
  <si>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</si>
  <si>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</si>
  <si>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</si>
  <si>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</si>
  <si>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</si>
  <si>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</si>
  <si>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</si>
  <si>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</si>
  <si>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</si>
  <si>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</si>
  <si>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</si>
  <si>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</si>
  <si>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</si>
  <si>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</si>
  <si>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</si>
  <si>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</si>
  <si>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</si>
  <si>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</si>
  <si>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</si>
  <si>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</si>
  <si>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</si>
  <si>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</si>
  <si>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</si>
  <si>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</si>
  <si>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</si>
  <si>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</si>
  <si>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</si>
  <si>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</si>
  <si>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</si>
  <si>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</si>
  <si>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</si>
  <si>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</si>
  <si>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</si>
  <si>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</si>
  <si>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</si>
  <si>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</si>
  <si>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</si>
  <si>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</si>
  <si>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</si>
  <si>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</si>
  <si>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</si>
  <si>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</si>
  <si>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</si>
  <si>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</si>
  <si>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</si>
  <si>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</si>
  <si>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</si>
  <si>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</si>
  <si>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</si>
  <si>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</si>
  <si>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</si>
  <si>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</si>
  <si>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</si>
  <si>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</si>
  <si>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</si>
  <si>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</si>
  <si>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</si>
  <si>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</si>
  <si>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</si>
  <si>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</si>
  <si>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</si>
  <si>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</si>
  <si>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</si>
  <si>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</si>
  <si>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</si>
  <si>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</si>
  <si>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</si>
  <si>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</si>
  <si>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</si>
  <si>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</si>
  <si>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</si>
  <si>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</si>
  <si>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</si>
  <si>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</si>
  <si>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</si>
  <si>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</si>
  <si>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</si>
  <si>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</si>
  <si>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</si>
  <si>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</si>
  <si>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</si>
  <si>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</si>
  <si>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</si>
  <si>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</si>
  <si>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</si>
  <si>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</si>
  <si>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</si>
  <si>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</si>
  <si>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</si>
  <si>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</si>
  <si>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</si>
  <si>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</si>
  <si>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</si>
  <si>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</si>
  <si>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</si>
  <si>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</si>
  <si>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</si>
  <si>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</si>
  <si>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</si>
  <si>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</si>
  <si>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</si>
  <si>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</si>
  <si>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</si>
  <si>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</si>
  <si>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</si>
  <si>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</si>
  <si>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</si>
  <si>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</si>
  <si>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</si>
  <si>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</si>
  <si>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</si>
  <si>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</si>
  <si>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</si>
  <si>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</si>
  <si>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</si>
  <si>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</si>
  <si>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</si>
  <si>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</si>
  <si>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</si>
  <si>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</si>
  <si>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</si>
  <si>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</si>
  <si>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</si>
  <si>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</si>
  <si>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</si>
  <si>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</si>
  <si>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</si>
  <si>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</si>
  <si>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</si>
  <si>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</si>
  <si>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</si>
  <si>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</si>
  <si>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</si>
  <si>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</si>
  <si>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</si>
  <si>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</si>
  <si>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</si>
  <si>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</si>
  <si>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</si>
  <si>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</si>
  <si>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</si>
  <si>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</si>
  <si>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</si>
  <si>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</si>
  <si>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</si>
  <si>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</si>
  <si>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</si>
  <si>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</si>
  <si>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</si>
  <si>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</si>
  <si>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</si>
  <si>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</si>
  <si>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</si>
  <si>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</si>
  <si>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</si>
  <si>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</si>
  <si>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</si>
  <si>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</si>
  <si>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</si>
  <si>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</si>
  <si>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</si>
  <si>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</si>
  <si>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</si>
  <si>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</si>
  <si>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</si>
  <si>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</si>
  <si>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</si>
  <si>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</si>
  <si>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</si>
  <si>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</si>
  <si>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</si>
  <si>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</si>
  <si>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</si>
  <si>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</si>
  <si>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</si>
  <si>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</si>
  <si>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</si>
  <si>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</si>
  <si>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</si>
  <si>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</si>
  <si>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</si>
  <si>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</si>
  <si>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</si>
  <si>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</si>
  <si>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</si>
  <si>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</si>
  <si>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</si>
  <si>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</si>
  <si>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</si>
  <si>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</si>
  <si>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</si>
  <si>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</si>
  <si>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</si>
  <si>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</si>
  <si>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</si>
  <si>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</si>
  <si>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</si>
  <si>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</si>
  <si>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</si>
  <si>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</si>
  <si>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</si>
  <si>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</si>
  <si>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</si>
  <si>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</si>
  <si>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</si>
  <si>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</si>
  <si>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</si>
  <si>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</si>
  <si>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</si>
  <si>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</si>
  <si>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</si>
  <si>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</si>
  <si>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</si>
  <si>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</si>
  <si>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</si>
  <si>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</si>
  <si>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</si>
  <si>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</si>
  <si>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</si>
  <si>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</si>
  <si>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</si>
  <si>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</si>
  <si>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</si>
  <si>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</si>
  <si>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</si>
  <si>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</si>
  <si>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</si>
  <si>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</si>
  <si>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</si>
  <si>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</si>
  <si>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</si>
  <si>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</si>
  <si>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</si>
  <si>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</si>
  <si>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</si>
  <si>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</si>
  <si>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</si>
  <si>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</si>
  <si>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</si>
  <si>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</si>
  <si>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</si>
  <si>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</si>
  <si>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</si>
  <si>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</si>
  <si>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</si>
  <si>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</si>
  <si>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</si>
  <si>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</si>
  <si>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</si>
  <si>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</si>
  <si>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</si>
  <si>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</si>
  <si>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</si>
  <si>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</si>
  <si>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</si>
  <si>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</si>
  <si>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</si>
  <si>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</si>
  <si>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</si>
  <si>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</si>
  <si>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</si>
  <si>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</si>
  <si>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</si>
  <si>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</si>
  <si>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</si>
  <si>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</si>
  <si>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</si>
  <si>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</si>
  <si>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</si>
  <si>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</si>
  <si>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</si>
  <si>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</si>
  <si>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</si>
  <si>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</si>
  <si>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</si>
  <si>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</si>
  <si>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</si>
  <si>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</si>
  <si>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</si>
  <si>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</si>
  <si>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</si>
  <si>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</si>
  <si>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</si>
  <si>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</si>
  <si>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</si>
  <si>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</si>
  <si>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</si>
  <si>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</si>
  <si>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</si>
  <si>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</si>
  <si>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</si>
  <si>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</si>
  <si>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</si>
  <si>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</si>
  <si>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</si>
  <si>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</si>
  <si>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</si>
  <si>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</si>
  <si>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</si>
  <si>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</si>
  <si>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</si>
  <si>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</si>
  <si>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</si>
  <si>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</si>
  <si>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</si>
  <si>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</si>
  <si>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</si>
  <si>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</si>
  <si>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</si>
  <si>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</si>
  <si>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</si>
  <si>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</si>
  <si>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</si>
  <si>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</si>
  <si>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</si>
  <si>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</si>
  <si>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</si>
  <si>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</si>
  <si>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</si>
  <si>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</si>
  <si>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</si>
  <si>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</si>
  <si>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</si>
  <si>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</si>
  <si>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</si>
  <si>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</si>
  <si>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</si>
  <si>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</si>
  <si>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</si>
  <si>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</si>
  <si>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</si>
  <si>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</si>
  <si>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</si>
  <si>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</si>
  <si>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</si>
  <si>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</si>
  <si>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</si>
  <si>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</si>
  <si>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</si>
  <si>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</si>
  <si>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</si>
  <si>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</si>
  <si>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</si>
  <si>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</si>
  <si>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</si>
  <si>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</si>
  <si>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</si>
  <si>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</si>
  <si>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</si>
  <si>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</si>
  <si>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</si>
  <si>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</si>
  <si>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</si>
  <si>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</si>
  <si>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</si>
  <si>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</si>
  <si>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</si>
  <si>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</si>
  <si>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</si>
  <si>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</si>
  <si>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</si>
  <si>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</si>
  <si>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</si>
  <si>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</si>
  <si>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</si>
  <si>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</si>
  <si>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</si>
  <si>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</si>
  <si>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</si>
  <si>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</si>
  <si>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</si>
  <si>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</si>
  <si>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</si>
  <si>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</si>
  <si>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</si>
  <si>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</si>
  <si>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</si>
  <si>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</si>
  <si>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</si>
  <si>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</si>
  <si>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</si>
  <si>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</si>
  <si>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</si>
  <si>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</si>
  <si>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</si>
  <si>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</si>
  <si>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</si>
  <si>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</si>
  <si>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</si>
  <si>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</si>
  <si>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</si>
  <si>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</si>
  <si>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</si>
  <si>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</si>
  <si>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</si>
  <si>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</si>
  <si>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</si>
  <si>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</si>
  <si>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</si>
  <si>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</si>
  <si>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</si>
  <si>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</si>
  <si>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</si>
  <si>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</si>
  <si>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</si>
  <si>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</si>
  <si>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</si>
  <si>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</si>
  <si>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</si>
  <si>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</si>
  <si>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</si>
  <si>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</si>
  <si>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</si>
  <si>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</si>
  <si>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</si>
  <si>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</si>
  <si>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</si>
  <si>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</si>
  <si>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</si>
  <si>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</si>
  <si>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</si>
  <si>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</si>
  <si>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</si>
  <si>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</si>
  <si>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</si>
  <si>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</si>
  <si>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</si>
  <si>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</si>
  <si>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</si>
  <si>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</si>
  <si>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</si>
  <si>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</si>
  <si>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</si>
  <si>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</si>
  <si>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</si>
  <si>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</si>
  <si>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</si>
  <si>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</si>
  <si>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</si>
  <si>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</si>
  <si>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</si>
  <si>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</si>
  <si>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</si>
  <si>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</si>
  <si>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</si>
  <si>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</si>
  <si>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</si>
  <si>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</si>
  <si>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</si>
  <si>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</si>
  <si>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</si>
  <si>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</si>
  <si>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</si>
  <si>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</si>
  <si>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</si>
  <si>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</si>
  <si>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</si>
  <si>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</si>
  <si>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</si>
  <si>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</si>
  <si>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</si>
  <si>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</si>
  <si>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</si>
  <si>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</si>
  <si>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</si>
  <si>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</si>
  <si>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</si>
  <si>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</si>
  <si>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</si>
  <si>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</si>
  <si>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</si>
  <si>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</si>
  <si>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</si>
  <si>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</si>
  <si>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</si>
  <si>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</si>
  <si>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</si>
  <si>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</si>
  <si>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</si>
  <si>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</si>
  <si>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</si>
  <si>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</si>
  <si>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</si>
  <si>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</si>
  <si>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</si>
  <si>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</si>
  <si>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</si>
  <si>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</si>
  <si>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</si>
  <si>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</si>
  <si>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</si>
  <si>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</si>
  <si>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</si>
  <si>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</si>
  <si>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</si>
  <si>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</si>
  <si>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</si>
  <si>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</si>
  <si>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</si>
  <si>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</si>
  <si>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</si>
  <si>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</si>
  <si>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</si>
  <si>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</si>
  <si>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</si>
  <si>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</si>
  <si>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</si>
  <si>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</si>
  <si>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</si>
  <si>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</si>
  <si>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</si>
  <si>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</si>
  <si>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</si>
  <si>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</si>
  <si>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</si>
  <si>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</si>
  <si>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</si>
  <si>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</si>
  <si>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</si>
  <si>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</si>
  <si>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</si>
  <si>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</si>
  <si>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</si>
  <si>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</si>
  <si>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</si>
  <si>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</si>
  <si>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</si>
  <si>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</si>
  <si>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</si>
  <si>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</si>
  <si>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</si>
  <si>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</si>
  <si>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</si>
  <si>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</si>
  <si>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</si>
  <si>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</si>
  <si>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</si>
  <si>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</si>
  <si>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</si>
  <si>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</si>
  <si>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</si>
  <si>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</si>
  <si>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</si>
  <si>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</si>
  <si>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</si>
  <si>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</si>
  <si>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</si>
  <si>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</si>
  <si>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</si>
  <si>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</si>
  <si>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</si>
  <si>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</si>
  <si>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</si>
  <si>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</si>
  <si>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</si>
  <si>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</si>
  <si>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</si>
  <si>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</si>
  <si>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</si>
  <si>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</si>
  <si>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</si>
  <si>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</si>
  <si>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</si>
  <si>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</si>
  <si>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</si>
  <si>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</si>
  <si>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</si>
  <si>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</si>
  <si>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</si>
  <si>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</si>
  <si>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</si>
  <si>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</si>
  <si>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</si>
  <si>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</si>
  <si>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</si>
  <si>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</si>
  <si>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</si>
  <si>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</si>
  <si>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</si>
  <si>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</si>
  <si>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</si>
  <si>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</si>
  <si>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</si>
  <si>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</si>
  <si>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</si>
  <si>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</si>
  <si>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</si>
  <si>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</si>
  <si>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</si>
  <si>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</si>
  <si>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</si>
  <si>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</si>
  <si>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</si>
  <si>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</si>
  <si>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</si>
  <si>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</si>
  <si>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</si>
  <si>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</si>
  <si>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</si>
  <si>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</si>
  <si>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</si>
  <si>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</si>
  <si>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</si>
  <si>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</si>
  <si>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</si>
  <si>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</si>
  <si>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</si>
  <si>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</si>
  <si>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</si>
  <si>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</si>
  <si>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</si>
  <si>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</si>
  <si>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</si>
  <si>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</si>
  <si>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</si>
  <si>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</si>
  <si>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</si>
  <si>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</si>
  <si>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</si>
  <si>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</si>
  <si>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</si>
  <si>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</si>
  <si>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</si>
  <si>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</si>
  <si>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</si>
  <si>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</si>
  <si>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</si>
  <si>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</si>
  <si>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</si>
  <si>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</si>
  <si>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</si>
  <si>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</si>
  <si>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</si>
  <si>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</si>
  <si>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</si>
  <si>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</si>
  <si>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</si>
  <si>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</si>
  <si>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</si>
  <si>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</si>
  <si>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</si>
  <si>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</si>
  <si>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</si>
  <si>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</si>
  <si>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</si>
  <si>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</si>
  <si>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</si>
  <si>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</si>
  <si>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</si>
  <si>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</si>
  <si>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</si>
  <si>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</si>
  <si>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</si>
  <si>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</si>
  <si>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</si>
  <si>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</si>
  <si>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</si>
  <si>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</si>
  <si>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</si>
  <si>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</si>
  <si>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</si>
  <si>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</si>
  <si>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</si>
  <si>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</si>
  <si>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</si>
  <si>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</si>
  <si>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</si>
  <si>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</si>
  <si>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</si>
  <si>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</si>
  <si>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</si>
  <si>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</si>
  <si>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</si>
  <si>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</si>
  <si>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</si>
  <si>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</si>
  <si>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</si>
  <si>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</si>
  <si>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</si>
  <si>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</si>
  <si>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</si>
  <si>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</si>
  <si>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</si>
  <si>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</si>
  <si>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</si>
  <si>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</si>
  <si>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</si>
  <si>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</si>
  <si>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</si>
  <si>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</si>
  <si>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</si>
  <si>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</si>
  <si>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</si>
  <si>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</si>
  <si>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</si>
  <si>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</si>
  <si>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</si>
  <si>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</si>
  <si>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</si>
  <si>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</si>
  <si>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</si>
  <si>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</si>
  <si>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</si>
  <si>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</si>
  <si>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</si>
  <si>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</si>
  <si>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</si>
  <si>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</si>
  <si>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</si>
  <si>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</si>
  <si>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</si>
  <si>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</si>
  <si>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</si>
  <si>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</si>
  <si>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</si>
  <si>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</si>
  <si>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</si>
  <si>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</si>
  <si>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</si>
  <si>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</si>
  <si>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</si>
  <si>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</si>
  <si>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</si>
  <si>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</si>
  <si>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</si>
  <si>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</si>
  <si>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</si>
  <si>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</si>
  <si>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</si>
  <si>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</si>
  <si>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</si>
  <si>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</si>
  <si>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</si>
  <si>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</si>
  <si>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</si>
  <si>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</si>
  <si>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</si>
  <si>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</si>
  <si>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</si>
  <si>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</si>
  <si>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</si>
  <si>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</si>
  <si>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</si>
  <si>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</si>
  <si>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</si>
  <si>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</si>
  <si>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</si>
  <si>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</si>
  <si>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</si>
  <si>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</si>
  <si>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</si>
  <si>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</si>
  <si>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</si>
  <si>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</si>
  <si>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</si>
  <si>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</si>
  <si>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</si>
  <si>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</si>
  <si>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</si>
  <si>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</si>
  <si>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</si>
  <si>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</si>
  <si>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</si>
  <si>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</si>
  <si>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</si>
  <si>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</si>
  <si>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</si>
  <si>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</si>
  <si>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</si>
  <si>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</si>
  <si>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</si>
  <si>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</si>
  <si>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</si>
  <si>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</si>
  <si>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</si>
  <si>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</si>
  <si>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</si>
  <si>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</si>
  <si>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</si>
  <si>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</si>
  <si>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</si>
  <si>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</si>
  <si>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</si>
  <si>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</si>
  <si>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</si>
  <si>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</si>
  <si>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</si>
  <si>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</si>
  <si>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</si>
  <si>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</si>
  <si>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</si>
  <si>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</si>
  <si>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</si>
  <si>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</si>
  <si>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</si>
  <si>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</si>
  <si>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</si>
  <si>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</si>
  <si>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</si>
  <si>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</si>
  <si>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</si>
  <si>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</si>
  <si>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</si>
  <si>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</si>
  <si>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</si>
  <si>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</si>
  <si>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</si>
  <si>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</si>
  <si>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</si>
  <si>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</si>
  <si>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</si>
  <si>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</si>
  <si>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</si>
  <si>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</si>
  <si>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</si>
  <si>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</si>
  <si>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</si>
  <si>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</si>
  <si>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</si>
  <si>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</si>
  <si>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</si>
  <si>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</si>
  <si>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</si>
  <si>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</si>
  <si>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</si>
  <si>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</si>
  <si>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</si>
  <si>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</si>
  <si>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</si>
  <si>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</si>
  <si>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</si>
  <si>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</si>
  <si>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</si>
  <si>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</si>
  <si>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</si>
  <si>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</si>
  <si>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</si>
  <si>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</si>
  <si>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</si>
  <si>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</si>
  <si>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</si>
  <si>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</si>
  <si>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</si>
  <si>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</si>
  <si>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</si>
  <si>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</si>
  <si>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</si>
  <si>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</si>
  <si>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</si>
  <si>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</si>
  <si>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</si>
  <si>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</si>
  <si>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</si>
  <si>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</si>
  <si>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</si>
  <si>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</si>
  <si>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</si>
  <si>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</si>
  <si>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</si>
  <si>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</si>
  <si>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</si>
  <si>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</si>
  <si>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</si>
  <si>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</si>
  <si>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</si>
  <si>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</si>
  <si>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</si>
  <si>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</si>
  <si>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</si>
  <si>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</si>
  <si>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</si>
  <si>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</si>
  <si>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</si>
  <si>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</si>
  <si>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</si>
  <si>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</si>
  <si>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</si>
  <si>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</si>
  <si>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</si>
  <si>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</si>
  <si>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</si>
  <si>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</si>
  <si>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</si>
  <si>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</si>
  <si>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</si>
  <si>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</si>
  <si>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</si>
  <si>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</si>
  <si>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</si>
  <si>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</si>
  <si>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</si>
  <si>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</si>
  <si>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</si>
  <si>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</si>
  <si>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</si>
  <si>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</si>
  <si>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</si>
  <si>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</si>
  <si>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</si>
  <si>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</si>
  <si>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</si>
  <si>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</si>
  <si>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</si>
  <si>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</si>
  <si>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</si>
  <si>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</si>
  <si>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</si>
  <si>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</si>
  <si>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</si>
  <si>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</si>
  <si>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</si>
  <si>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</si>
  <si>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</si>
  <si>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</si>
  <si>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</si>
  <si>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</si>
  <si>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</si>
  <si>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</si>
  <si>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</si>
  <si>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</si>
  <si>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</si>
  <si>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</si>
  <si>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</si>
  <si>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</si>
  <si>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</si>
  <si>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</si>
  <si>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</si>
  <si>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</si>
  <si>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</si>
  <si>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</si>
  <si>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</si>
  <si>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</si>
  <si>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</si>
  <si>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</si>
  <si>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</si>
  <si>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</si>
  <si>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</si>
  <si>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</si>
  <si>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</si>
  <si>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</si>
  <si>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</si>
  <si>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</si>
  <si>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</si>
  <si>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</si>
  <si>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</si>
  <si>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</si>
  <si>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</si>
  <si>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</si>
  <si>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</si>
  <si>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</si>
  <si>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</si>
  <si>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</si>
  <si>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</si>
  <si>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</si>
  <si>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</si>
  <si>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</si>
  <si>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</si>
  <si>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</si>
  <si>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</si>
  <si>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</si>
  <si>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</si>
  <si>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</si>
  <si>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</si>
  <si>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</si>
  <si>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</si>
  <si>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</si>
  <si>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</si>
  <si>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</si>
  <si>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</si>
  <si>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</si>
  <si>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</si>
  <si>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</si>
  <si>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</si>
  <si>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</si>
  <si>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</si>
  <si>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</si>
  <si>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</si>
  <si>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</si>
  <si>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</si>
  <si>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</si>
  <si>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</si>
  <si>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</si>
  <si>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</si>
  <si>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</si>
  <si>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</si>
  <si>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</si>
  <si>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</si>
  <si>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</si>
  <si>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</si>
  <si>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</si>
  <si>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</si>
  <si>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</si>
  <si>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</si>
  <si>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</si>
  <si>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</si>
  <si>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</si>
  <si>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</si>
  <si>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</si>
  <si>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</si>
  <si>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</si>
  <si>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</si>
  <si>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</si>
  <si>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</si>
  <si>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</si>
  <si>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</si>
  <si>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</si>
  <si>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</si>
  <si>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</si>
  <si>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</si>
  <si>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</si>
  <si>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</si>
  <si>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</si>
  <si>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</si>
  <si>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</si>
  <si>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</si>
  <si>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</si>
  <si>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</si>
  <si>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</si>
  <si>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</si>
  <si>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</si>
  <si>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</si>
  <si>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</si>
  <si>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</si>
  <si>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</si>
  <si>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</si>
  <si>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</si>
  <si>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</si>
  <si>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</si>
  <si>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</si>
  <si>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</si>
  <si>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</si>
  <si>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</si>
  <si>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</si>
  <si>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</si>
  <si>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</si>
  <si>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</si>
  <si>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</si>
  <si>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</si>
  <si>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</si>
  <si>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</si>
  <si>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</si>
  <si>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</si>
  <si>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</si>
  <si>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</si>
  <si>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</si>
  <si>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</si>
  <si>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</si>
  <si>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</si>
  <si>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</si>
  <si>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</si>
  <si>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</si>
  <si>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</si>
  <si>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</si>
  <si>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</si>
  <si>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</si>
  <si>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</si>
  <si>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</si>
  <si>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</si>
  <si>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</si>
  <si>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</si>
  <si>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</si>
  <si>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</si>
  <si>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</si>
  <si>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</si>
  <si>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</si>
  <si>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</si>
  <si>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</si>
  <si>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</si>
  <si>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</si>
  <si>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</si>
  <si>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</si>
  <si>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</si>
  <si>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</si>
  <si>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</si>
  <si>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</si>
  <si>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</si>
  <si>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</si>
  <si>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</si>
  <si>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</si>
  <si>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</si>
  <si>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</si>
  <si>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</si>
  <si>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</si>
  <si>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</si>
  <si>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</si>
  <si>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</si>
  <si>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</si>
  <si>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</si>
  <si>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</si>
  <si>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</si>
  <si>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</si>
  <si>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</si>
  <si>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</si>
  <si>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</si>
  <si>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</si>
  <si>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</si>
  <si>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</si>
  <si>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</si>
  <si>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</si>
  <si>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</si>
  <si>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</si>
  <si>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</si>
  <si>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</si>
  <si>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</si>
  <si>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</si>
  <si>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</si>
  <si>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</si>
  <si>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</si>
  <si>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</si>
  <si>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</si>
  <si>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</si>
  <si>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</si>
  <si>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</si>
  <si>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</si>
  <si>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</si>
  <si>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</si>
  <si>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</si>
  <si>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</si>
  <si>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</si>
  <si>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</si>
  <si>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</si>
  <si>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</si>
  <si>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</si>
  <si>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</si>
  <si>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</si>
  <si>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</si>
  <si>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</si>
  <si>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</si>
  <si>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</si>
  <si>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</si>
  <si>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</si>
  <si>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</si>
  <si>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</si>
  <si>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</si>
  <si>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</si>
  <si>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</si>
  <si>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</si>
  <si>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</si>
  <si>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</si>
  <si>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</si>
  <si>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</si>
  <si>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</si>
  <si>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</si>
  <si>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</si>
  <si>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</si>
  <si>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</si>
  <si>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</si>
  <si>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</si>
  <si>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</si>
  <si>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</si>
  <si>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</si>
  <si>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</si>
  <si>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</si>
  <si>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</si>
  <si>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</si>
  <si>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</si>
  <si>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</si>
  <si>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</si>
  <si>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</si>
  <si>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</si>
  <si>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</si>
  <si>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</si>
  <si>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</si>
  <si>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</si>
  <si>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</si>
  <si>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</si>
  <si>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</si>
  <si>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</si>
  <si>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</si>
  <si>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</si>
  <si>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</si>
  <si>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</si>
  <si>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</si>
  <si>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</si>
  <si>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</si>
  <si>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</si>
  <si>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</si>
  <si>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</si>
  <si>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</si>
  <si>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</si>
  <si>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</si>
  <si>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</si>
  <si>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</si>
  <si>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</si>
  <si>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</si>
  <si>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</si>
  <si>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</si>
  <si>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</si>
  <si>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</si>
  <si>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</si>
  <si>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</si>
  <si>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</si>
  <si>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</si>
  <si>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</si>
  <si>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</si>
  <si>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</si>
  <si>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</si>
  <si>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</si>
  <si>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</si>
  <si>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</si>
  <si>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</si>
  <si>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</si>
  <si>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</si>
  <si>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</si>
  <si>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</si>
  <si>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</si>
  <si>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</si>
  <si>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</si>
  <si>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</si>
  <si>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</si>
  <si>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</si>
  <si>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</si>
  <si>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</si>
  <si>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</si>
  <si>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</si>
  <si>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</si>
  <si>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</si>
  <si>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</si>
  <si>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</si>
  <si>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</si>
  <si>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</si>
  <si>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</si>
  <si>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</si>
  <si>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</si>
  <si>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</si>
  <si>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</si>
  <si>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</si>
  <si>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</si>
  <si>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</si>
  <si>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</si>
  <si>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</si>
  <si>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</si>
  <si>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</si>
  <si>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</si>
  <si>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</si>
  <si>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</si>
  <si>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</si>
  <si>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</si>
  <si>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</si>
  <si>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</si>
  <si>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</si>
  <si>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</si>
  <si>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</si>
  <si>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</si>
  <si>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</si>
  <si>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</si>
  <si>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</si>
  <si>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</si>
  <si>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</si>
  <si>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</si>
  <si>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</si>
  <si>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</si>
  <si>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</si>
  <si>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</si>
  <si>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</si>
  <si>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</si>
  <si>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</si>
  <si>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</si>
  <si>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</si>
  <si>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</si>
  <si>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</si>
  <si>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</si>
  <si>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</si>
  <si>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</si>
  <si>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</si>
  <si>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</si>
  <si>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</si>
  <si>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</si>
  <si>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</si>
  <si>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</si>
  <si>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</si>
  <si>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</si>
  <si>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</si>
  <si>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</si>
  <si>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</si>
  <si>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</si>
  <si>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</si>
  <si>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</si>
  <si>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</si>
  <si>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</si>
  <si>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</si>
  <si>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</si>
  <si>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</si>
  <si>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</si>
  <si>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</si>
  <si>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</si>
  <si>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</si>
  <si>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</si>
  <si>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</si>
  <si>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</si>
  <si>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</si>
  <si>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</si>
  <si>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</si>
  <si>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</si>
  <si>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</si>
  <si>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</si>
  <si>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</si>
  <si>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</si>
  <si>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</si>
  <si>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</si>
  <si>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</si>
  <si>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</si>
  <si>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</si>
  <si>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</si>
  <si>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</si>
  <si>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</si>
  <si>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</si>
  <si>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</si>
  <si>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</si>
  <si>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</si>
  <si>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</si>
  <si>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</si>
  <si>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</si>
  <si>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</si>
  <si>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</si>
  <si>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</si>
  <si>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</si>
  <si>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</si>
  <si>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</si>
  <si>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</si>
  <si>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</si>
  <si>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</si>
  <si>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</si>
  <si>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</si>
  <si>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</si>
  <si>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</si>
  <si>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</si>
  <si>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</si>
  <si>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</si>
  <si>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</si>
  <si>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</si>
  <si>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</si>
  <si>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</si>
  <si>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</si>
  <si>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</si>
  <si>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</si>
  <si>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</si>
  <si>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</si>
  <si>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</si>
  <si>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</si>
  <si>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</si>
  <si>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</si>
  <si>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</si>
  <si>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</si>
  <si>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</si>
  <si>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</si>
  <si>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</si>
  <si>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</si>
  <si>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</si>
  <si>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</si>
  <si>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</si>
  <si>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</si>
  <si>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</si>
  <si>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</si>
  <si>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</si>
  <si>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</si>
  <si>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</si>
  <si>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</si>
  <si>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</si>
  <si>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</si>
  <si>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</si>
  <si>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</si>
  <si>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</si>
  <si>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</si>
  <si>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</si>
  <si>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</si>
  <si>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</si>
  <si>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</si>
  <si>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</si>
  <si>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</si>
  <si>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</si>
  <si>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</si>
  <si>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</si>
  <si>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</si>
  <si>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</si>
  <si>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</si>
  <si>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</si>
  <si>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</si>
  <si>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</si>
  <si>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</si>
  <si>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</si>
  <si>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</si>
  <si>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</si>
  <si>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</si>
  <si>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</si>
  <si>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</si>
  <si>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</si>
  <si>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</si>
  <si>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</si>
  <si>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</si>
  <si>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</si>
  <si>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</si>
  <si>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</si>
  <si>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</si>
  <si>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</si>
  <si>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</si>
  <si>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</si>
  <si>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</si>
  <si>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</si>
  <si>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</si>
  <si>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</si>
  <si>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</si>
  <si>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</si>
  <si>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</si>
  <si>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</si>
  <si>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</si>
  <si>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</si>
  <si>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</si>
  <si>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</si>
  <si>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</si>
  <si>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</si>
  <si>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</si>
  <si>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</si>
  <si>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</si>
  <si>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</si>
  <si>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</si>
  <si>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</si>
  <si>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</si>
  <si>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</si>
  <si>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</si>
  <si>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</si>
  <si>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</si>
  <si>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</si>
  <si>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</si>
  <si>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</si>
  <si>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</si>
  <si>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</si>
  <si>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</si>
  <si>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</si>
  <si>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</si>
  <si>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</si>
  <si>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</si>
  <si>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</si>
  <si>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</si>
  <si>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</si>
  <si>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</si>
  <si>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</si>
  <si>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</si>
  <si>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</si>
  <si>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</si>
  <si>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</si>
  <si>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</si>
  <si>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</si>
  <si>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</si>
  <si>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</si>
  <si>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</si>
  <si>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</si>
  <si>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</si>
  <si>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</si>
  <si>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</si>
  <si>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</si>
  <si>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</si>
  <si>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</si>
  <si>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</si>
  <si>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</si>
  <si>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</si>
  <si>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</si>
  <si>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</si>
  <si>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</si>
  <si>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</si>
  <si>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</si>
  <si>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</si>
  <si>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</si>
  <si>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</si>
  <si>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</si>
  <si>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</si>
  <si>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</si>
  <si>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</si>
  <si>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</si>
  <si>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</si>
  <si>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</si>
  <si>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</si>
  <si>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</si>
  <si>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</si>
  <si>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</si>
  <si>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</si>
  <si>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</si>
  <si>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</si>
  <si>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</si>
  <si>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</si>
  <si>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</si>
  <si>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</si>
  <si>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</si>
  <si>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</si>
  <si>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</si>
  <si>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</si>
  <si>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</si>
  <si>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</si>
  <si>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</si>
  <si>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</si>
  <si>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</si>
  <si>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</si>
  <si>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</si>
  <si>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</si>
  <si>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</si>
  <si>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</si>
  <si>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</si>
  <si>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</si>
  <si>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</si>
  <si>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</si>
  <si>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</si>
  <si>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</si>
  <si>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</si>
  <si>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</si>
  <si>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</si>
  <si>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</si>
  <si>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</si>
  <si>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</si>
  <si>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</si>
  <si>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</si>
  <si>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</si>
  <si>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</si>
  <si>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</si>
  <si>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</si>
  <si>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</si>
  <si>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</si>
  <si>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</si>
  <si>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</si>
  <si>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</si>
  <si>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</si>
  <si>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</si>
  <si>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</si>
  <si>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</si>
  <si>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</si>
  <si>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</si>
  <si>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</si>
  <si>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</si>
  <si>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</si>
  <si>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</si>
  <si>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</si>
  <si>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</si>
  <si>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</si>
  <si>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</si>
  <si>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</si>
  <si>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</si>
  <si>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</si>
  <si>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</si>
  <si>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</si>
  <si>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</si>
  <si>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</si>
  <si>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</si>
  <si>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</si>
  <si>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</si>
  <si>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</si>
  <si>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</si>
  <si>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</si>
  <si>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</si>
  <si>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</si>
  <si>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</si>
  <si>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</si>
  <si>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</si>
  <si>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</si>
  <si>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</si>
  <si>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</si>
  <si>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</si>
  <si>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</si>
  <si>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</si>
  <si>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</si>
  <si>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</si>
  <si>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</si>
  <si>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</si>
  <si>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</si>
  <si>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</si>
  <si>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</si>
  <si>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</si>
  <si>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</si>
  <si>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</si>
  <si>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</si>
  <si>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</si>
  <si>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</si>
  <si>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</si>
  <si>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</si>
  <si>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</si>
  <si>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</si>
  <si>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</si>
  <si>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</si>
  <si>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</si>
  <si>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</si>
  <si>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</si>
  <si>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</si>
  <si>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</si>
  <si>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</si>
  <si>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</si>
  <si>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</si>
  <si>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</si>
  <si>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</si>
  <si>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</si>
  <si>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</si>
  <si>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</si>
  <si>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</si>
  <si>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</si>
  <si>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</si>
  <si>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</si>
  <si>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</si>
  <si>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</si>
  <si>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</si>
  <si>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</si>
  <si>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</si>
  <si>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</si>
  <si>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</si>
  <si>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</si>
  <si>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</si>
  <si>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</si>
  <si>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</si>
  <si>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</si>
  <si>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</si>
  <si>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</si>
  <si>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</si>
  <si>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</si>
  <si>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</si>
  <si>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</si>
  <si>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</si>
  <si>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</si>
  <si>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</si>
  <si>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</si>
  <si>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</si>
  <si>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</si>
  <si>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</si>
  <si>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</si>
  <si>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</si>
  <si>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</si>
  <si>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</si>
  <si>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</si>
  <si>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</si>
  <si>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</si>
  <si>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</si>
  <si>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</si>
  <si>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</si>
  <si>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</si>
  <si>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</si>
  <si>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</si>
  <si>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</si>
  <si>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</si>
  <si>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</si>
  <si>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</si>
  <si>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</si>
  <si>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</si>
  <si>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</si>
  <si>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</si>
  <si>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</si>
  <si>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</si>
  <si>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</si>
  <si>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</si>
  <si>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</si>
  <si>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</si>
  <si>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</si>
  <si>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</si>
  <si>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</si>
  <si>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</si>
  <si>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</si>
  <si>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</si>
  <si>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</si>
  <si>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</si>
  <si>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</si>
  <si>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</si>
  <si>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</si>
  <si>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</si>
  <si>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</si>
  <si>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</si>
  <si>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</si>
  <si>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</si>
  <si>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</si>
  <si>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</si>
  <si>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</si>
  <si>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</si>
  <si>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</si>
  <si>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</si>
  <si>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</si>
  <si>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</si>
  <si>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</si>
  <si>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</si>
  <si>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</si>
  <si>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</si>
  <si>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</si>
  <si>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</si>
  <si>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</si>
  <si>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</si>
  <si>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</si>
  <si>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</si>
  <si>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</si>
  <si>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</si>
  <si>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</si>
  <si>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</si>
  <si>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</si>
  <si>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</si>
  <si>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</si>
  <si>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</si>
  <si>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</si>
  <si>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</si>
  <si>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</si>
  <si>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</si>
  <si>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</si>
  <si>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</si>
  <si>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</si>
  <si>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</si>
  <si>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</si>
  <si>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</si>
  <si>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</si>
  <si>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</si>
  <si>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</si>
  <si>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</si>
  <si>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</si>
  <si>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</si>
  <si>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</si>
  <si>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</si>
  <si>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</si>
  <si>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</si>
  <si>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</si>
  <si>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</si>
  <si>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</si>
  <si>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</si>
  <si>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</si>
  <si>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</si>
  <si>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</si>
  <si>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</si>
  <si>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</si>
  <si>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</si>
  <si>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</si>
  <si>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</si>
  <si>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</si>
  <si>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</si>
  <si>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</si>
  <si>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</si>
  <si>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</si>
  <si>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</si>
  <si>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</si>
  <si>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</si>
  <si>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</si>
  <si>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</si>
  <si>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</si>
  <si>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</si>
  <si>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</si>
  <si>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</si>
  <si>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</si>
  <si>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</si>
  <si>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</si>
  <si>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</si>
  <si>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</si>
  <si>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</si>
  <si>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</si>
  <si>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</si>
  <si>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</si>
  <si>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</si>
  <si>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</si>
  <si>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</si>
  <si>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</si>
  <si>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</si>
  <si>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</si>
  <si>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</si>
  <si>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</si>
  <si>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</si>
  <si>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</si>
  <si>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</si>
  <si>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</si>
  <si>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</si>
  <si>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</si>
  <si>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</si>
  <si>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</si>
  <si>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</si>
  <si>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</si>
  <si>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</si>
  <si>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</si>
  <si>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</si>
  <si>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</si>
  <si>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</si>
  <si>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</si>
  <si>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</si>
  <si>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</si>
  <si>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</si>
  <si>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</si>
  <si>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</si>
  <si>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</si>
  <si>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</si>
  <si>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</si>
  <si>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</si>
  <si>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</si>
  <si>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</si>
  <si>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</si>
  <si>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</si>
  <si>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</si>
  <si>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</si>
  <si>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</si>
  <si>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</si>
  <si>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</si>
  <si>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</si>
  <si>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</si>
  <si>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</si>
  <si>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</si>
  <si>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</si>
  <si>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</si>
  <si>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</si>
  <si>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</si>
  <si>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</si>
  <si>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</si>
  <si>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</si>
  <si>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</si>
  <si>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</si>
  <si>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</si>
  <si>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</si>
  <si>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</si>
  <si>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</si>
  <si>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</si>
  <si>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</si>
  <si>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</si>
  <si>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</si>
  <si>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</si>
  <si>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</si>
  <si>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</si>
  <si>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</si>
  <si>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</si>
  <si>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</si>
  <si>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</si>
  <si>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</si>
  <si>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</si>
  <si>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</si>
  <si>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</si>
  <si>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</si>
  <si>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</si>
  <si>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</si>
  <si>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</si>
  <si>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</si>
  <si>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</si>
  <si>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</si>
  <si>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</si>
  <si>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</si>
  <si>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</si>
  <si>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</si>
  <si>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</si>
  <si>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</si>
  <si>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</si>
  <si>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</si>
  <si>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</si>
  <si>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</si>
  <si>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</si>
  <si>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</si>
  <si>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</si>
  <si>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</si>
  <si>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</si>
  <si>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</si>
  <si>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</si>
  <si>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</si>
  <si>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</si>
  <si>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</si>
  <si>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</si>
  <si>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</si>
  <si>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</si>
  <si>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</si>
  <si>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</si>
  <si>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</si>
  <si>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</si>
  <si>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</si>
  <si>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</si>
  <si>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</si>
  <si>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</si>
  <si>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</si>
  <si>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</si>
  <si>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</si>
  <si>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</si>
  <si>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</si>
  <si>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</si>
  <si>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</si>
  <si>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</si>
  <si>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</si>
  <si>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</si>
  <si>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</si>
  <si>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</si>
  <si>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</si>
  <si>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</si>
  <si>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</si>
  <si>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</si>
  <si>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</si>
  <si>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</si>
  <si>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</si>
  <si>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</si>
  <si>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</si>
  <si>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</si>
  <si>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</si>
  <si>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</si>
  <si>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</si>
  <si>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</si>
  <si>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</si>
  <si>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</si>
  <si>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</si>
  <si>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</si>
  <si>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</si>
  <si>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</si>
  <si>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</si>
  <si>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</si>
  <si>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</si>
  <si>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</si>
  <si>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</si>
  <si>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</si>
  <si>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</si>
  <si>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</si>
  <si>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</si>
  <si>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</si>
  <si>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</si>
  <si>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</si>
  <si>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</si>
  <si>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</si>
  <si>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</si>
  <si>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</si>
  <si>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</si>
  <si>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</si>
  <si>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</si>
  <si>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</si>
  <si>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</si>
  <si>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</si>
  <si>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</si>
  <si>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</si>
  <si>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</si>
  <si>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</si>
  <si>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</si>
  <si>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</si>
  <si>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</si>
  <si>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</si>
  <si>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</si>
  <si>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</si>
  <si>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</si>
  <si>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</si>
  <si>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</si>
  <si>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</si>
  <si>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</si>
  <si>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</si>
  <si>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</si>
  <si>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</si>
  <si>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</si>
  <si>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</si>
  <si>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</si>
  <si>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</si>
  <si>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</si>
  <si>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</si>
  <si>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</si>
  <si>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</si>
  <si>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</si>
  <si>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</si>
  <si>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</si>
  <si>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</si>
  <si>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</si>
  <si>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</si>
  <si>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</si>
  <si>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</si>
  <si>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</si>
  <si>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</si>
  <si>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</si>
  <si>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</si>
  <si>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</si>
  <si>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</si>
  <si>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</si>
  <si>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</si>
  <si>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</si>
  <si>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</si>
  <si>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</si>
  <si>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</si>
  <si>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</si>
  <si>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</si>
  <si>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</si>
  <si>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</si>
  <si>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</si>
  <si>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</si>
  <si>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</si>
  <si>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</si>
  <si>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</si>
  <si>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</si>
  <si>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</si>
  <si>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</si>
  <si>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</si>
  <si>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</si>
  <si>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</si>
  <si>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</si>
  <si>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</si>
  <si>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</si>
  <si>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</si>
  <si>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</si>
  <si>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</si>
  <si>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</si>
  <si>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</si>
  <si>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</si>
  <si>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</si>
  <si>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</si>
  <si>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</si>
  <si>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</si>
  <si>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</si>
  <si>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</si>
  <si>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</si>
  <si>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</si>
  <si>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</si>
  <si>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</si>
  <si>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</si>
  <si>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</si>
  <si>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</si>
  <si>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</si>
  <si>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</si>
  <si>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</si>
  <si>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</si>
  <si>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</si>
  <si>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</si>
  <si>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</si>
  <si>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</si>
  <si>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</si>
  <si>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</si>
  <si>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</si>
  <si>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</si>
  <si>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</si>
  <si>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</si>
  <si>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</si>
  <si>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</si>
  <si>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</si>
  <si>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</si>
  <si>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</si>
  <si>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</si>
  <si>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</si>
  <si>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</si>
  <si>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</si>
  <si>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</si>
  <si>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</si>
  <si>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</si>
  <si>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</si>
  <si>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</si>
  <si>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</si>
  <si>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</si>
  <si>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</si>
  <si>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</si>
  <si>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</si>
  <si>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</si>
  <si>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</si>
  <si>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</si>
  <si>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</si>
  <si>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</si>
  <si>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</si>
  <si>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</si>
  <si>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</si>
  <si>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</si>
  <si>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</si>
  <si>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</si>
  <si>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</si>
  <si>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</si>
  <si>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</si>
  <si>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</si>
  <si>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</si>
  <si>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</si>
  <si>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</si>
  <si>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</si>
  <si>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</si>
  <si>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</si>
  <si>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</si>
  <si>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</si>
  <si>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</si>
  <si>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</si>
  <si>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</si>
  <si>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</si>
  <si>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</si>
  <si>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</si>
  <si>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</si>
  <si>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</si>
  <si>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</si>
  <si>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</si>
  <si>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</si>
  <si>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</si>
  <si>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</si>
  <si>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</si>
  <si>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</si>
  <si>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</si>
  <si>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</si>
  <si>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</si>
  <si>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</si>
  <si>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</si>
  <si>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</si>
  <si>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</si>
  <si>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</si>
  <si>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</si>
  <si>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</si>
  <si>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</si>
  <si>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</si>
  <si>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</si>
  <si>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</si>
  <si>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</si>
  <si>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</si>
  <si>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</si>
  <si>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</si>
  <si>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</si>
  <si>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</si>
  <si>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</si>
  <si>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</si>
  <si>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</si>
  <si>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</si>
  <si>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</si>
  <si>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</si>
  <si>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</si>
  <si>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</si>
  <si>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</si>
  <si>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</si>
  <si>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</si>
  <si>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</si>
  <si>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</si>
  <si>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</si>
  <si>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</si>
  <si>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</si>
  <si>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</si>
  <si>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</si>
  <si>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</si>
  <si>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</si>
  <si>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</si>
  <si>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</si>
  <si>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</si>
  <si>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</si>
  <si>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</si>
  <si>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</si>
  <si>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</si>
  <si>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</si>
  <si>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</si>
  <si>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</si>
  <si>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</si>
  <si>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</si>
  <si>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</si>
  <si>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</si>
  <si>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</si>
  <si>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</si>
  <si>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</si>
  <si>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</si>
  <si>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</si>
  <si>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</si>
  <si>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</si>
  <si>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</si>
  <si>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</si>
  <si>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</si>
  <si>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</si>
  <si>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</si>
  <si>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</si>
  <si>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</si>
  <si>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</si>
  <si>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</si>
  <si>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</si>
  <si>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</si>
  <si>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</si>
  <si>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</si>
  <si>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</si>
  <si>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</si>
  <si>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</si>
  <si>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</si>
  <si>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</si>
  <si>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</si>
  <si>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</si>
  <si>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</si>
  <si>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</si>
  <si>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</si>
  <si>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</si>
  <si>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</si>
  <si>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</si>
  <si>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</si>
  <si>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</si>
  <si>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</si>
  <si>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</si>
  <si>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</si>
  <si>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</si>
  <si>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</si>
  <si>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</si>
  <si>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</si>
  <si>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</si>
  <si>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</si>
  <si>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</si>
  <si>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</si>
  <si>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</si>
  <si>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</si>
  <si>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</si>
  <si>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</si>
  <si>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</si>
  <si>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</si>
  <si>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</si>
  <si>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</si>
  <si>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</si>
  <si>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</si>
  <si>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</si>
  <si>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</si>
  <si>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</si>
  <si>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</si>
  <si>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</si>
  <si>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</si>
  <si>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</si>
  <si>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</si>
  <si>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</si>
  <si>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</si>
  <si>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</si>
  <si>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</si>
  <si>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</si>
  <si>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</si>
  <si>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</si>
  <si>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</si>
  <si>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</si>
  <si>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</si>
  <si>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</si>
  <si>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</si>
  <si>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</si>
  <si>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</si>
  <si>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</si>
  <si>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</si>
  <si>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</si>
  <si>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</si>
  <si>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</si>
  <si>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</si>
  <si>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</si>
  <si>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</si>
  <si>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</si>
  <si>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</si>
  <si>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</si>
  <si>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</si>
  <si>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</si>
  <si>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</si>
  <si>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</si>
  <si>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</si>
  <si>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</si>
  <si>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</si>
  <si>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</si>
  <si>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</si>
  <si>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</si>
  <si>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</si>
  <si>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</si>
  <si>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</si>
  <si>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</si>
  <si>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</si>
  <si>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</si>
  <si>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</si>
  <si>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</si>
  <si>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</si>
  <si>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</si>
  <si>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</si>
  <si>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</si>
  <si>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</si>
  <si>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</si>
  <si>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</si>
  <si>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</si>
  <si>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</si>
  <si>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</si>
  <si>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</si>
  <si>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</si>
  <si>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</si>
  <si>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</si>
  <si>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</si>
  <si>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</si>
  <si>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</si>
  <si>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</si>
  <si>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</si>
  <si>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</si>
  <si>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</si>
  <si>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</si>
  <si>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</si>
  <si>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</si>
  <si>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</si>
  <si>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</si>
  <si>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</si>
  <si>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</si>
  <si>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</si>
  <si>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</si>
  <si>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</si>
  <si>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</si>
  <si>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</si>
  <si>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</si>
  <si>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</si>
  <si>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</si>
  <si>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</si>
  <si>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</si>
  <si>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</si>
  <si>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</si>
  <si>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</si>
  <si>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</si>
  <si>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</si>
  <si>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</si>
  <si>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</si>
  <si>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</si>
  <si>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</si>
  <si>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</si>
  <si>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</si>
  <si>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</si>
  <si>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</si>
  <si>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</si>
  <si>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</si>
  <si>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</si>
  <si>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</si>
  <si>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</si>
  <si>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</si>
  <si>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</si>
  <si>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</si>
  <si>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</si>
  <si>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</si>
  <si>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</si>
  <si>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</si>
  <si>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</si>
  <si>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</si>
  <si>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</si>
  <si>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</si>
  <si>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</si>
  <si>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</si>
  <si>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</si>
  <si>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</si>
  <si>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</si>
  <si>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</si>
  <si>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</si>
  <si>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</si>
  <si>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</si>
  <si>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</si>
  <si>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</si>
  <si>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</si>
  <si>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</si>
  <si>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</si>
  <si>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</si>
  <si>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</si>
  <si>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</si>
  <si>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</si>
  <si>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</si>
  <si>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</si>
  <si>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</si>
  <si>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</si>
  <si>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</si>
  <si>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</si>
  <si>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</si>
  <si>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</si>
  <si>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</si>
  <si>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</si>
  <si>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</si>
  <si>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</si>
  <si>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</si>
  <si>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</si>
  <si>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</si>
  <si>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</si>
  <si>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</si>
  <si>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</si>
  <si>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</si>
  <si>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</si>
  <si>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</si>
  <si>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</si>
  <si>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</si>
  <si>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</si>
  <si>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</si>
  <si>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</si>
  <si>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</si>
  <si>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</si>
  <si>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</si>
  <si>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</si>
  <si>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</si>
  <si>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</si>
  <si>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</si>
  <si>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</si>
  <si>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</si>
  <si>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</si>
  <si>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</si>
  <si>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</si>
  <si>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</si>
  <si>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</si>
  <si>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</si>
  <si>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</si>
  <si>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</si>
  <si>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</si>
  <si>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</si>
  <si>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</si>
  <si>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</si>
  <si>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</si>
  <si>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</si>
  <si>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</si>
  <si>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</si>
  <si>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</si>
  <si>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</si>
  <si>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</si>
  <si>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</si>
  <si>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</si>
  <si>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</si>
  <si>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</si>
  <si>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</si>
  <si>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</si>
  <si>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</si>
  <si>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</si>
  <si>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</si>
  <si>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</si>
  <si>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</si>
  <si>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</si>
  <si>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</si>
  <si>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</si>
  <si>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</si>
  <si>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</si>
  <si>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</si>
  <si>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</si>
  <si>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</si>
  <si>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</si>
  <si>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</si>
  <si>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</si>
  <si>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</si>
  <si>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</si>
  <si>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</si>
  <si>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</si>
  <si>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</si>
  <si>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</si>
  <si>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</si>
  <si>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</si>
  <si>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</si>
  <si>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</si>
  <si>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</si>
  <si>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</si>
  <si>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</si>
  <si>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</si>
  <si>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</si>
  <si>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</si>
  <si>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</si>
  <si>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</si>
  <si>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</si>
  <si>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</si>
  <si>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</si>
  <si>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</si>
  <si>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</si>
  <si>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</si>
  <si>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</si>
  <si>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</si>
  <si>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</si>
  <si>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</si>
  <si>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</si>
  <si>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</si>
  <si>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</si>
  <si>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</si>
  <si>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</si>
  <si>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</si>
  <si>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</si>
  <si>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</si>
  <si>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</si>
  <si>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</si>
  <si>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</si>
  <si>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</si>
  <si>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</si>
  <si>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</si>
  <si>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</si>
  <si>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</si>
  <si>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</si>
  <si>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</si>
  <si>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</si>
  <si>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</si>
  <si>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</si>
  <si>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</si>
  <si>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</si>
  <si>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</si>
  <si>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</si>
  <si>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</si>
  <si>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</si>
  <si>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</si>
  <si>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</si>
  <si>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</si>
  <si>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</si>
  <si>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</si>
  <si>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</si>
  <si>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</si>
  <si>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</si>
  <si>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</si>
  <si>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</si>
  <si>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</si>
  <si>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</si>
  <si>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</si>
  <si>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</si>
  <si>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</si>
  <si>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</si>
  <si>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</si>
  <si>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</si>
  <si>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</si>
  <si>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</si>
  <si>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</si>
  <si>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</si>
  <si>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</si>
  <si>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</si>
  <si>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</si>
  <si>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</si>
  <si>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</si>
  <si>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</si>
  <si>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</si>
  <si>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</si>
  <si>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</si>
  <si>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</si>
  <si>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</si>
  <si>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</si>
  <si>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</si>
  <si>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</si>
  <si>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</si>
  <si>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</si>
  <si>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</si>
  <si>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</si>
  <si>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</si>
  <si>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</si>
  <si>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</si>
  <si>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</si>
  <si>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</si>
  <si>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</si>
  <si>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</si>
  <si>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</si>
  <si>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</si>
  <si>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</si>
  <si>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</si>
  <si>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</si>
  <si>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</si>
  <si>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</si>
  <si>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</si>
  <si>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</si>
  <si>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</si>
  <si>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</si>
  <si>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</si>
  <si>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</si>
  <si>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</si>
  <si>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</si>
  <si>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</si>
  <si>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</si>
  <si>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</si>
  <si>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</si>
  <si>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</si>
  <si>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</si>
  <si>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</si>
  <si>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</si>
  <si>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</si>
  <si>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</si>
  <si>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</si>
  <si>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</si>
  <si>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</si>
  <si>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</si>
  <si>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</si>
  <si>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</si>
  <si>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</si>
  <si>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</si>
  <si>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</si>
  <si>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</si>
  <si>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</si>
  <si>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</si>
  <si>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</si>
  <si>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</si>
  <si>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</si>
  <si>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</si>
  <si>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</si>
  <si>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</si>
  <si>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</si>
  <si>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</si>
  <si>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</si>
  <si>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</si>
  <si>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</si>
  <si>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</si>
  <si>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</si>
  <si>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</si>
  <si>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</si>
  <si>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</si>
  <si>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</si>
  <si>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</si>
  <si>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</si>
  <si>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</si>
  <si>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</si>
  <si>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</si>
  <si>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</si>
  <si>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</si>
  <si>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</si>
  <si>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</si>
  <si>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</si>
  <si>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</si>
  <si>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</si>
  <si>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</si>
  <si>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</si>
  <si>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</si>
  <si>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</si>
  <si>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</si>
  <si>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</si>
  <si>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</si>
  <si>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</si>
  <si>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</si>
  <si>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</si>
  <si>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</si>
  <si>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</si>
  <si>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</si>
  <si>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</si>
  <si>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</si>
  <si>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</si>
  <si>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</si>
  <si>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</si>
  <si>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</si>
  <si>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</si>
  <si>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</si>
  <si>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</si>
  <si>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</si>
  <si>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</si>
  <si>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</si>
  <si>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</si>
  <si>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</si>
  <si>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</si>
  <si>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</si>
  <si>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</si>
  <si>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</si>
  <si>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</si>
  <si>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</si>
  <si>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</si>
  <si>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</si>
  <si>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</si>
  <si>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</si>
  <si>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</si>
  <si>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</si>
  <si>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</si>
  <si>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</si>
  <si>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</si>
  <si>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</si>
  <si>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</si>
  <si>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</si>
  <si>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</si>
  <si>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</si>
  <si>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</si>
  <si>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</si>
  <si>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</si>
  <si>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</si>
  <si>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</si>
  <si>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</si>
  <si>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</si>
  <si>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</si>
  <si>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</si>
  <si>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</si>
  <si>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</si>
  <si>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</si>
  <si>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</si>
  <si>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</si>
  <si>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</si>
  <si>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</si>
  <si>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</si>
  <si>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</si>
  <si>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</si>
  <si>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</si>
  <si>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</si>
  <si>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</si>
  <si>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</si>
  <si>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</si>
  <si>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</si>
  <si>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</si>
  <si>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</si>
  <si>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</si>
  <si>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</si>
  <si>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</si>
  <si>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</si>
  <si>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</si>
  <si>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</si>
  <si>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</si>
  <si>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</si>
  <si>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</si>
  <si>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</si>
  <si>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</si>
  <si>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</si>
  <si>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</si>
  <si>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</si>
  <si>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</si>
  <si>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</si>
  <si>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</si>
  <si>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</si>
  <si>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</si>
  <si>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</si>
  <si>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</si>
  <si>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</si>
  <si>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</si>
  <si>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</si>
  <si>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</si>
  <si>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</si>
  <si>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</si>
  <si>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</si>
  <si>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</si>
  <si>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</si>
  <si>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</si>
  <si>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</si>
  <si>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</si>
  <si>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</si>
  <si>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</si>
  <si>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</si>
  <si>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</si>
  <si>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</si>
  <si>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</si>
  <si>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</si>
  <si>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</si>
  <si>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</si>
  <si>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</si>
  <si>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</si>
  <si>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</si>
  <si>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</si>
  <si>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</si>
  <si>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</si>
  <si>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</si>
  <si>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</si>
  <si>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</si>
  <si>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</si>
  <si>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</si>
  <si>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</si>
  <si>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</si>
  <si>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</si>
  <si>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</si>
  <si>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</si>
  <si>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</si>
  <si>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</si>
  <si>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</si>
  <si>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</si>
  <si>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</si>
  <si>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</si>
  <si>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</si>
  <si>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</si>
  <si>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</si>
  <si>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</si>
  <si>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</si>
  <si>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</si>
  <si>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</si>
  <si>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</si>
  <si>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</si>
  <si>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</si>
  <si>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</si>
  <si>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</si>
  <si>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</si>
  <si>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</si>
  <si>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</si>
  <si>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</si>
  <si>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</si>
  <si>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</si>
  <si>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</si>
  <si>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</si>
  <si>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</si>
  <si>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</si>
  <si>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</si>
  <si>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</si>
  <si>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</si>
  <si>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</si>
  <si>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</si>
  <si>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</si>
  <si>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</si>
  <si>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</si>
  <si>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</si>
  <si>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</si>
  <si>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</si>
  <si>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</si>
  <si>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</si>
  <si>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</si>
  <si>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</si>
  <si>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</si>
  <si>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</si>
  <si>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</si>
  <si>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</si>
  <si>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</si>
  <si>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</si>
  <si>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</si>
  <si>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</si>
  <si>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</si>
  <si>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</si>
  <si>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</si>
  <si>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</si>
  <si>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</si>
  <si>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</si>
  <si>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</si>
  <si>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</si>
  <si>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</si>
  <si>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</si>
  <si>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</si>
  <si>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</si>
  <si>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</si>
  <si>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</si>
  <si>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</si>
  <si>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</si>
  <si>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</si>
  <si>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</si>
  <si>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</si>
  <si>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</si>
  <si>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</si>
  <si>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</si>
  <si>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</si>
  <si>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</si>
  <si>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</si>
  <si>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</si>
  <si>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</si>
  <si>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</si>
  <si>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</si>
  <si>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</si>
  <si>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</si>
  <si>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</si>
  <si>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</si>
  <si>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</si>
  <si>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</si>
  <si>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</si>
  <si>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</si>
  <si>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</si>
  <si>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</si>
  <si>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</si>
  <si>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</si>
  <si>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</si>
  <si>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</si>
  <si>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</si>
  <si>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</si>
  <si>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</si>
  <si>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</si>
  <si>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</si>
  <si>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</si>
  <si>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</si>
  <si>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</si>
  <si>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</si>
  <si>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</si>
  <si>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</si>
  <si>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</si>
  <si>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</si>
  <si>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</si>
  <si>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</si>
  <si>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</si>
  <si>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</si>
  <si>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</si>
  <si>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</si>
  <si>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</si>
  <si>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</si>
  <si>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</si>
  <si>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</si>
  <si>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</si>
  <si>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</si>
  <si>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</si>
  <si>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</si>
  <si>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</si>
  <si>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</si>
  <si>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</si>
  <si>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</si>
  <si>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</si>
  <si>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</si>
  <si>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</si>
  <si>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</si>
  <si>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</si>
  <si>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</si>
  <si>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</si>
  <si>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</si>
  <si>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</si>
  <si>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</si>
  <si>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</si>
  <si>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</si>
  <si>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</si>
  <si>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</si>
  <si>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</si>
  <si>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</si>
  <si>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</si>
  <si>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</si>
  <si>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</si>
  <si>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</si>
  <si>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</si>
  <si>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</si>
  <si>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</si>
  <si>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</si>
  <si>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</si>
  <si>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</si>
  <si>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</si>
  <si>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</si>
  <si>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</si>
  <si>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</si>
  <si>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</si>
  <si>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</si>
  <si>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</si>
  <si>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</si>
  <si>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</si>
  <si>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</si>
  <si>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</si>
  <si>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</si>
  <si>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</si>
  <si>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</si>
  <si>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</si>
  <si>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</si>
  <si>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</si>
  <si>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</si>
  <si>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</si>
  <si>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</si>
  <si>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</si>
  <si>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</si>
  <si>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</si>
  <si>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</si>
  <si>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</si>
  <si>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</si>
  <si>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</si>
  <si>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</si>
  <si>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</si>
  <si>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</si>
  <si>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</si>
  <si>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</si>
  <si>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</si>
  <si>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</si>
  <si>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</si>
  <si>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</si>
  <si>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</si>
  <si>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</si>
  <si>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</si>
  <si>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</si>
  <si>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</si>
  <si>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</si>
  <si>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</si>
  <si>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</si>
  <si>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</si>
  <si>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</si>
  <si>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</si>
  <si>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</si>
  <si>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</si>
  <si>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</si>
  <si>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</si>
  <si>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</si>
  <si>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</si>
  <si>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</si>
  <si>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</si>
  <si>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</si>
  <si>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</si>
  <si>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</si>
  <si>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</si>
  <si>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</si>
  <si>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</si>
  <si>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</si>
  <si>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</si>
  <si>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</si>
  <si>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</si>
  <si>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</si>
  <si>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</si>
  <si>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</si>
  <si>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</si>
  <si>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</si>
  <si>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</si>
  <si>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</si>
  <si>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</si>
  <si>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</si>
  <si>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</si>
  <si>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</si>
  <si>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</si>
  <si>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</si>
  <si>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</si>
  <si>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</si>
  <si>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</si>
  <si>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</si>
  <si>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</si>
  <si>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</si>
  <si>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</si>
  <si>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</si>
  <si>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</si>
  <si>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</si>
  <si>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</si>
  <si>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</si>
  <si>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</si>
  <si>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</si>
  <si>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</si>
  <si>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</si>
  <si>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</si>
  <si>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</si>
  <si>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</si>
  <si>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</si>
  <si>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</si>
  <si>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</si>
  <si>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</si>
  <si>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</si>
  <si>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</si>
  <si>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</si>
  <si>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</si>
  <si>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</si>
  <si>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</si>
  <si>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</si>
  <si>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</si>
  <si>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</si>
  <si>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</si>
  <si>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</si>
  <si>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</si>
  <si>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</si>
  <si>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</si>
  <si>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</si>
  <si>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</si>
  <si>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</si>
  <si>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</si>
  <si>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</si>
  <si>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</si>
  <si>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</si>
  <si>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</si>
  <si>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</si>
  <si>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</si>
  <si>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</si>
  <si>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</si>
  <si>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</si>
  <si>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</si>
  <si>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</si>
  <si>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</si>
  <si>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</si>
  <si>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</si>
  <si>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</si>
  <si>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</si>
  <si>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</si>
  <si>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</si>
  <si>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</si>
  <si>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</si>
  <si>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</si>
  <si>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</si>
  <si>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</si>
  <si>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</si>
  <si>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</si>
  <si>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</si>
  <si>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</si>
  <si>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</si>
  <si>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</si>
  <si>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</si>
  <si>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</si>
  <si>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</si>
  <si>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</si>
  <si>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</si>
  <si>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</si>
  <si>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</si>
  <si>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</si>
  <si>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</si>
  <si>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</si>
  <si>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</si>
  <si>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</si>
  <si>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</si>
  <si>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</si>
  <si>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</si>
  <si>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</si>
  <si>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</si>
  <si>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</si>
  <si>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</si>
  <si>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</si>
  <si>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</si>
  <si>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</si>
  <si>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</si>
  <si>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</si>
  <si>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</si>
  <si>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</si>
  <si>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</si>
  <si>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</si>
  <si>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</si>
  <si>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</si>
  <si>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</si>
  <si>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</si>
  <si>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</si>
  <si>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</si>
  <si>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</si>
  <si>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</si>
  <si>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</si>
  <si>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</si>
  <si>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</si>
  <si>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</si>
  <si>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</si>
  <si>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</si>
  <si>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</si>
  <si>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</si>
  <si>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</si>
  <si>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</si>
  <si>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</si>
  <si>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</si>
  <si>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</si>
  <si>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</si>
  <si>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</si>
  <si>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</si>
  <si>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</si>
  <si>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</si>
  <si>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</si>
  <si>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</si>
  <si>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</si>
  <si>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</si>
  <si>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</si>
  <si>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</si>
  <si>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</si>
  <si>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</si>
  <si>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</si>
  <si>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</si>
  <si>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</si>
  <si>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</si>
  <si>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</si>
  <si>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</si>
  <si>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</si>
  <si>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</si>
  <si>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</si>
  <si>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</si>
  <si>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</si>
  <si>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</si>
  <si>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</si>
  <si>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</si>
  <si>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</si>
  <si>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</si>
  <si>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</si>
  <si>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</si>
  <si>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</si>
  <si>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</si>
  <si>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</si>
  <si>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</si>
  <si>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</si>
  <si>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</si>
  <si>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</si>
  <si>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</si>
  <si>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</si>
  <si>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</si>
  <si>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</si>
  <si>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</si>
  <si>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</si>
  <si>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</si>
  <si>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</si>
  <si>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</si>
  <si>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</si>
  <si>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</si>
  <si>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</si>
  <si>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</si>
  <si>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</si>
  <si>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</si>
  <si>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</si>
  <si>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</si>
  <si>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</si>
  <si>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</si>
  <si>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</si>
  <si>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</si>
  <si>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</si>
  <si>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</si>
  <si>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</si>
  <si>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</si>
  <si>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</si>
  <si>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</si>
  <si>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</si>
  <si>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</si>
  <si>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</si>
  <si>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</si>
  <si>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</si>
  <si>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</si>
  <si>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</si>
  <si>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</si>
  <si>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</si>
  <si>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</si>
  <si>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</si>
  <si>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</si>
  <si>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</si>
  <si>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</si>
  <si>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</si>
  <si>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</si>
  <si>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</si>
  <si>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</si>
  <si>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</si>
  <si>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</si>
  <si>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</si>
  <si>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</si>
  <si>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</si>
  <si>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</si>
  <si>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</si>
  <si>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</si>
  <si>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</si>
  <si>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</si>
  <si>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</si>
  <si>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</si>
  <si>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</si>
  <si>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</si>
  <si>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</si>
  <si>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</si>
  <si>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</si>
  <si>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</si>
  <si>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</si>
  <si>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</si>
  <si>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</si>
  <si>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</si>
  <si>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</si>
  <si>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</si>
  <si>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</si>
  <si>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</si>
  <si>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</si>
  <si>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</si>
  <si>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</si>
  <si>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</si>
  <si>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</si>
  <si>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</si>
  <si>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</si>
  <si>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</si>
  <si>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</si>
  <si>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</si>
  <si>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</si>
  <si>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</si>
  <si>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</si>
  <si>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</si>
  <si>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</si>
  <si>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</si>
  <si>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</si>
  <si>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</si>
  <si>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</si>
  <si>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</si>
  <si>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</si>
  <si>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</si>
  <si>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</si>
  <si>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</si>
  <si>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</si>
  <si>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</si>
  <si>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</si>
  <si>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</si>
  <si>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</si>
  <si>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</si>
  <si>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</si>
  <si>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</si>
  <si>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</si>
  <si>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</si>
  <si>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</si>
  <si>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</si>
  <si>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</si>
  <si>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</si>
  <si>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</si>
  <si>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</si>
  <si>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</si>
  <si>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</si>
  <si>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</si>
  <si>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</si>
  <si>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</si>
  <si>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</si>
  <si>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</si>
  <si>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</si>
  <si>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</si>
  <si>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</si>
  <si>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</si>
  <si>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</si>
  <si>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</si>
  <si>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</si>
  <si>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</si>
  <si>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</si>
  <si>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</si>
  <si>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</si>
  <si>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</si>
  <si>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</si>
  <si>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</si>
  <si>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</si>
  <si>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</si>
  <si>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</si>
  <si>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</si>
  <si>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</si>
  <si>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</si>
  <si>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</si>
  <si>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</si>
  <si>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</si>
  <si>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</si>
  <si>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</si>
  <si>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</si>
  <si>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</si>
  <si>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</si>
  <si>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</si>
  <si>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</si>
  <si>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</si>
  <si>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</si>
  <si>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</si>
  <si>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</si>
  <si>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</si>
  <si>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</si>
  <si>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</si>
  <si>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</si>
  <si>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</si>
  <si>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</si>
  <si>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</si>
  <si>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</si>
  <si>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</si>
  <si>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</si>
  <si>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</si>
  <si>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</si>
  <si>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</si>
  <si>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</si>
  <si>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</si>
  <si>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</si>
  <si>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</si>
  <si>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</si>
  <si>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</si>
  <si>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</si>
  <si>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</si>
  <si>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</si>
  <si>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</si>
  <si>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</si>
  <si>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</si>
  <si>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</si>
  <si>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</si>
  <si>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</si>
  <si>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</si>
  <si>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</si>
  <si>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</si>
  <si>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</si>
  <si>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</si>
  <si>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</si>
  <si>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</si>
  <si>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</si>
  <si>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</si>
  <si>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</si>
  <si>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</si>
  <si>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</si>
  <si>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</si>
  <si>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</si>
  <si>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</si>
  <si>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</si>
  <si>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</si>
  <si>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</si>
  <si>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</si>
  <si>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</si>
  <si>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</si>
  <si>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</si>
  <si>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</si>
  <si>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</si>
  <si>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</si>
  <si>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</si>
  <si>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</si>
  <si>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</si>
  <si>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</si>
  <si>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</si>
  <si>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</si>
  <si>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</si>
  <si>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</si>
  <si>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</si>
  <si>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</si>
  <si>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</si>
  <si>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</si>
  <si>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</si>
  <si>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</si>
  <si>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</si>
  <si>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</si>
  <si>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</si>
  <si>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</si>
  <si>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</si>
  <si>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</si>
  <si>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</si>
  <si>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</si>
  <si>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</si>
  <si>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</si>
  <si>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</si>
  <si>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</si>
  <si>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</si>
  <si>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</si>
  <si>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</si>
  <si>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</si>
  <si>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</si>
  <si>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</si>
  <si>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</si>
  <si>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</si>
  <si>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</si>
  <si>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</si>
  <si>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</si>
  <si>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</si>
  <si>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</si>
  <si>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</si>
  <si>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</si>
  <si>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</si>
  <si>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</si>
  <si>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</si>
  <si>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</si>
  <si>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</si>
  <si>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</si>
  <si>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</si>
  <si>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</si>
  <si>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</si>
  <si>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</si>
  <si>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</si>
  <si>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</si>
  <si>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</si>
  <si>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</si>
  <si>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</si>
  <si>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</si>
  <si>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</si>
  <si>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</si>
  <si>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</si>
  <si>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</si>
  <si>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</si>
  <si>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</si>
  <si>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</si>
  <si>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</si>
  <si>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</si>
  <si>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</si>
  <si>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</si>
  <si>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</si>
  <si>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</si>
  <si>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</si>
  <si>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</si>
  <si>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</si>
  <si>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</si>
  <si>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</si>
  <si>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</si>
  <si>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</si>
  <si>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</si>
  <si>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</si>
  <si>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</si>
  <si>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</si>
  <si>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</si>
  <si>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</si>
  <si>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</si>
  <si>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</si>
  <si>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</si>
  <si>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</si>
  <si>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</si>
  <si>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</si>
  <si>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</si>
  <si>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</si>
  <si>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</si>
  <si>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</si>
  <si>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</si>
  <si>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</si>
  <si>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</si>
  <si>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</si>
  <si>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</si>
  <si>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</si>
  <si>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</si>
  <si>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</si>
  <si>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</si>
  <si>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</si>
  <si>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</si>
  <si>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</si>
  <si>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</si>
  <si>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</si>
  <si>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</si>
  <si>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</si>
  <si>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</si>
  <si>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</si>
  <si>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</si>
  <si>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</si>
  <si>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</si>
  <si>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</si>
  <si>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</si>
  <si>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</si>
  <si>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</si>
  <si>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</si>
  <si>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</si>
  <si>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</si>
  <si>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</si>
  <si>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</si>
  <si>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</si>
  <si>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</si>
  <si>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</si>
  <si>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</si>
  <si>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</si>
  <si>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</si>
  <si>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</si>
  <si>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</si>
  <si>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</si>
  <si>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</si>
  <si>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</si>
  <si>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</si>
  <si>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</si>
  <si>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</si>
  <si>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</si>
  <si>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</si>
  <si>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</si>
  <si>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</si>
  <si>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</si>
  <si>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</si>
  <si>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</si>
  <si>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</si>
  <si>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</si>
  <si>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</si>
  <si>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</si>
  <si>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</si>
  <si>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</si>
  <si>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</si>
  <si>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</si>
  <si>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</si>
  <si>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</si>
  <si>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</si>
  <si>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</si>
  <si>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</si>
  <si>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</si>
  <si>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</si>
  <si>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</si>
  <si>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</si>
  <si>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</si>
  <si>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</si>
  <si>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</si>
  <si>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</si>
  <si>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</si>
  <si>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</si>
  <si>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</si>
  <si>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</si>
  <si>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</si>
  <si>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</si>
  <si>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</si>
  <si>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</si>
  <si>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</si>
  <si>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</si>
  <si>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</si>
  <si>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</si>
  <si>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</si>
  <si>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</si>
  <si>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</si>
  <si>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</si>
  <si>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</si>
  <si>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</si>
  <si>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</si>
  <si>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</si>
  <si>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</si>
  <si>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</si>
  <si>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</si>
  <si>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</si>
  <si>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</si>
  <si>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</si>
  <si>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</si>
  <si>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</si>
  <si>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</si>
  <si>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</si>
  <si>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</si>
  <si>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</si>
  <si>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</si>
  <si>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</si>
  <si>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</si>
  <si>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</si>
  <si>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</si>
  <si>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</si>
  <si>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</si>
  <si>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</si>
  <si>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</si>
  <si>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</si>
  <si>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</si>
  <si>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</si>
  <si>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</si>
  <si>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</si>
  <si>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</si>
  <si>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</si>
  <si>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</si>
  <si>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</si>
  <si>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</si>
  <si>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</si>
  <si>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</si>
  <si>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</si>
  <si>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</si>
  <si>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</si>
  <si>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</si>
  <si>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</si>
  <si>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</si>
  <si>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</si>
  <si>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</si>
  <si>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</si>
  <si>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</si>
  <si>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</si>
  <si>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</si>
  <si>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</si>
  <si>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</si>
  <si>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</si>
  <si>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</si>
  <si>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</si>
  <si>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</si>
  <si>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</si>
  <si>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</si>
  <si>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</si>
  <si>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</si>
  <si>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</si>
  <si>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</si>
  <si>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</si>
  <si>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</si>
  <si>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</si>
  <si>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</si>
  <si>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</si>
  <si>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</si>
  <si>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</si>
  <si>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</si>
  <si>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</si>
  <si>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</si>
  <si>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</si>
  <si>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</si>
  <si>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</si>
  <si>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</si>
  <si>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</si>
  <si>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</si>
  <si>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</si>
  <si>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</si>
  <si>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</si>
  <si>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</si>
  <si>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</si>
  <si>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</si>
  <si>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</si>
  <si>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</si>
  <si>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</si>
  <si>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</si>
  <si>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</si>
  <si>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</si>
  <si>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</si>
  <si>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</si>
  <si>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</si>
  <si>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</si>
  <si>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</si>
  <si>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</si>
  <si>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</si>
  <si>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</si>
  <si>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</si>
  <si>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</si>
  <si>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</si>
  <si>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</si>
  <si>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</si>
  <si>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</si>
  <si>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</si>
  <si>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</si>
  <si>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</si>
  <si>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</si>
  <si>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</si>
  <si>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</si>
  <si>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</si>
  <si>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</si>
  <si>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</si>
  <si>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</si>
  <si>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</si>
  <si>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</si>
  <si>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</si>
  <si>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</si>
  <si>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</si>
  <si>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</si>
  <si>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</si>
  <si>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</si>
  <si>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</si>
  <si>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</si>
  <si>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</si>
  <si>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</si>
  <si>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</si>
  <si>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</si>
  <si>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</si>
  <si>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</si>
  <si>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</si>
  <si>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</si>
  <si>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</si>
  <si>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</si>
  <si>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</si>
  <si>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</si>
  <si>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</si>
  <si>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</si>
  <si>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</si>
  <si>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</si>
  <si>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</si>
  <si>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</si>
  <si>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</si>
  <si>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</si>
  <si>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</si>
  <si>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</si>
  <si>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</si>
  <si>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</si>
  <si>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</si>
  <si>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</si>
  <si>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</si>
  <si>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</si>
  <si>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</si>
  <si>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</si>
  <si>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</si>
  <si>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</si>
  <si>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</si>
  <si>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</si>
  <si>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</si>
  <si>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</si>
  <si>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</si>
  <si>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</si>
  <si>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</si>
  <si>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</si>
  <si>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</si>
  <si>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</si>
  <si>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</si>
  <si>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</si>
  <si>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</si>
  <si>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</si>
  <si>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</si>
  <si>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</si>
  <si>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</si>
  <si>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</si>
  <si>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</si>
  <si>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</si>
  <si>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</si>
  <si>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</si>
  <si>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</si>
  <si>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</si>
  <si>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</si>
  <si>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</si>
  <si>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</si>
  <si>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</si>
  <si>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</si>
  <si>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</si>
  <si>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</si>
  <si>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</si>
  <si>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</si>
  <si>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</si>
  <si>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</si>
  <si>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</si>
  <si>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</si>
  <si>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</si>
  <si>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</si>
  <si>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</si>
  <si>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</si>
  <si>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</si>
  <si>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</si>
  <si>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</si>
  <si>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</si>
  <si>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</si>
  <si>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</si>
  <si>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</si>
  <si>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</si>
  <si>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</si>
  <si>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</si>
  <si>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</si>
  <si>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</si>
  <si>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</si>
  <si>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</si>
  <si>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</si>
  <si>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</si>
  <si>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</si>
  <si>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</si>
  <si>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</si>
  <si>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</si>
  <si>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</si>
  <si>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</si>
  <si>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</si>
  <si>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</si>
  <si>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</si>
  <si>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</si>
  <si>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</si>
  <si>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</si>
  <si>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</si>
  <si>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</si>
  <si>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</si>
  <si>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</si>
  <si>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</si>
  <si>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</si>
  <si>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</si>
  <si>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</si>
  <si>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</si>
  <si>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</si>
  <si>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</si>
  <si>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</si>
  <si>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</si>
  <si>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</si>
  <si>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</si>
  <si>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</si>
  <si>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</si>
  <si>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</si>
  <si>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</si>
  <si>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</si>
  <si>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</si>
  <si>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</si>
  <si>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</si>
  <si>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</si>
  <si>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</si>
  <si>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</si>
  <si>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</si>
  <si>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</si>
  <si>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</si>
  <si>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</si>
  <si>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</si>
  <si>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</si>
  <si>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</si>
  <si>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</si>
  <si>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</si>
  <si>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</si>
  <si>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</si>
  <si>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</si>
  <si>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</si>
  <si>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</si>
  <si>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</si>
  <si>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</si>
  <si>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</si>
  <si>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</si>
  <si>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</si>
  <si>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</si>
  <si>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</si>
  <si>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</si>
  <si>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</si>
  <si>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</si>
  <si>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</si>
  <si>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</si>
  <si>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</si>
  <si>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</si>
  <si>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</si>
  <si>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</si>
  <si>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</si>
  <si>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</si>
  <si>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</si>
  <si>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</si>
  <si>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</si>
  <si>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</si>
  <si>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</si>
  <si>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</si>
  <si>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</si>
  <si>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</si>
  <si>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</si>
  <si>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</si>
  <si>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</si>
  <si>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</si>
  <si>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</si>
  <si>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</si>
  <si>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</si>
  <si>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</si>
  <si>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</si>
  <si>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</si>
  <si>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</si>
  <si>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</si>
  <si>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</si>
  <si>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</si>
  <si>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</si>
  <si>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</si>
  <si>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</si>
  <si>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</si>
  <si>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</si>
  <si>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</si>
  <si>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</si>
  <si>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</si>
  <si>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</si>
  <si>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</si>
  <si>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</si>
  <si>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</si>
  <si>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</si>
  <si>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</si>
  <si>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</si>
  <si>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</si>
  <si>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</si>
  <si>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</si>
  <si>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</si>
  <si>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</si>
  <si>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</si>
  <si>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</si>
  <si>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</si>
  <si>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</si>
  <si>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</si>
  <si>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</si>
  <si>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</si>
  <si>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</si>
  <si>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</si>
  <si>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</si>
  <si>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</si>
  <si>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</si>
  <si>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</si>
  <si>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</si>
  <si>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</si>
  <si>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</si>
  <si>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</si>
  <si>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</si>
  <si>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</si>
  <si>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</si>
  <si>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</si>
  <si>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</si>
  <si>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</si>
  <si>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</si>
  <si>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</si>
  <si>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</si>
  <si>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</si>
  <si>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</si>
  <si>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</si>
  <si>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</si>
  <si>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</si>
  <si>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</si>
  <si>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</si>
  <si>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</si>
  <si>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</si>
  <si>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</si>
  <si>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</si>
  <si>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</si>
  <si>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</si>
  <si>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</si>
  <si>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</si>
  <si>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</si>
  <si>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</si>
  <si>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</si>
  <si>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</si>
  <si>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</si>
  <si>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</si>
  <si>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</si>
  <si>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</si>
  <si>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</si>
  <si>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</si>
  <si>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</si>
  <si>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</si>
  <si>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</si>
  <si>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</si>
  <si>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</si>
  <si>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</si>
  <si>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</si>
  <si>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</si>
  <si>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</si>
  <si>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</si>
  <si>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</si>
  <si>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</si>
  <si>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</si>
  <si>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</si>
  <si>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</si>
  <si>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</si>
  <si>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</si>
  <si>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</si>
  <si>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</si>
  <si>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</si>
  <si>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</si>
  <si>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</si>
  <si>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</si>
  <si>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</si>
  <si>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</si>
  <si>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</si>
  <si>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</si>
  <si>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</si>
  <si>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</si>
  <si>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</si>
  <si>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</si>
  <si>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</si>
  <si>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</si>
  <si>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</si>
  <si>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</si>
  <si>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</si>
  <si>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</si>
  <si>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</si>
  <si>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</si>
  <si>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</si>
  <si>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</si>
  <si>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</si>
  <si>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</si>
  <si>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</si>
  <si>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</si>
  <si>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</si>
  <si>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</si>
  <si>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</si>
  <si>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</si>
  <si>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</si>
  <si>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</si>
  <si>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</si>
  <si>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</si>
  <si>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</si>
  <si>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</si>
  <si>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</si>
  <si>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</si>
  <si>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</si>
  <si>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</si>
  <si>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</si>
  <si>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</si>
  <si>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</si>
  <si>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</si>
  <si>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</si>
  <si>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</si>
  <si>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</si>
  <si>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</si>
  <si>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</si>
  <si>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</si>
  <si>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</si>
  <si>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</si>
  <si>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</si>
  <si>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</si>
  <si>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</si>
  <si>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</si>
  <si>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</si>
  <si>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</si>
  <si>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</si>
  <si>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</si>
  <si>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</si>
  <si>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</si>
  <si>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</si>
  <si>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</si>
  <si>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</si>
  <si>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</si>
  <si>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</si>
  <si>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</si>
  <si>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</si>
  <si>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</si>
  <si>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</si>
  <si>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</si>
  <si>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</si>
  <si>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</si>
  <si>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</si>
  <si>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</si>
  <si>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</si>
  <si>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</si>
  <si>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</si>
  <si>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</si>
  <si>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</si>
  <si>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</si>
  <si>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</si>
  <si>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</si>
  <si>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</si>
  <si>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</si>
  <si>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</si>
  <si>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</si>
  <si>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</si>
  <si>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</si>
  <si>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</si>
  <si>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</si>
  <si>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</si>
  <si>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</si>
  <si>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</si>
  <si>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</si>
  <si>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</si>
  <si>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</si>
  <si>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</si>
  <si>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</si>
  <si>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</si>
  <si>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</si>
  <si>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</si>
  <si>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</si>
  <si>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</si>
  <si>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</si>
  <si>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</si>
  <si>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</si>
  <si>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</si>
  <si>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</si>
  <si>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</si>
  <si>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</si>
  <si>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</si>
  <si>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</si>
  <si>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</si>
  <si>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</si>
  <si>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</si>
  <si>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</si>
  <si>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</si>
  <si>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</si>
  <si>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</si>
  <si>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</si>
  <si>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</si>
  <si>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</si>
  <si>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</si>
  <si>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</si>
  <si>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</si>
  <si>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</si>
  <si>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</si>
  <si>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</si>
  <si>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</si>
  <si>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</si>
  <si>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</si>
  <si>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</si>
  <si>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</si>
  <si>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</si>
  <si>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</si>
  <si>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</si>
  <si>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</si>
  <si>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</si>
  <si>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</si>
  <si>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</si>
  <si>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</si>
  <si>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</si>
  <si>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</si>
  <si>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</si>
  <si>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</si>
  <si>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</si>
  <si>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</si>
  <si>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</si>
  <si>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</si>
  <si>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</si>
  <si>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</si>
  <si>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</si>
  <si>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</si>
  <si>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</si>
  <si>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</si>
  <si>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</si>
  <si>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</si>
  <si>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</si>
  <si>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</si>
  <si>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</si>
  <si>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</si>
  <si>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</si>
  <si>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</si>
  <si>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</si>
  <si>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</si>
  <si>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</si>
  <si>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</si>
  <si>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</si>
  <si>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</si>
  <si>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</si>
  <si>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</si>
  <si>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</si>
  <si>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</si>
  <si>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</si>
  <si>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</si>
  <si>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</si>
  <si>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</si>
  <si>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</si>
  <si>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</si>
  <si>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</si>
  <si>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</si>
  <si>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</si>
  <si>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</si>
  <si>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</si>
  <si>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</si>
  <si>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</si>
  <si>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</si>
  <si>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</si>
  <si>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</si>
  <si>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</si>
  <si>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</si>
  <si>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</si>
  <si>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</si>
  <si>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</si>
  <si>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</si>
  <si>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</si>
  <si>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</si>
  <si>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</si>
  <si>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</si>
  <si>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</si>
  <si>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</si>
  <si>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</si>
  <si>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</si>
  <si>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</si>
  <si>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</si>
  <si>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</si>
  <si>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</si>
  <si>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</si>
  <si>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</si>
  <si>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</si>
  <si>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</si>
  <si>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</si>
  <si>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</si>
  <si>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</si>
  <si>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</si>
  <si>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</si>
  <si>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</si>
  <si>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</si>
  <si>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</si>
  <si>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</si>
  <si>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</si>
  <si>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</si>
  <si>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</si>
  <si>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</si>
  <si>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</si>
  <si>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</si>
  <si>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</si>
  <si>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</si>
  <si>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</si>
  <si>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</si>
  <si>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</si>
  <si>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</si>
  <si>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</si>
  <si>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</si>
  <si>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</si>
  <si>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</si>
  <si>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</si>
  <si>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</si>
  <si>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</si>
  <si>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</si>
  <si>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</si>
  <si>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</si>
  <si>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</si>
  <si>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</si>
  <si>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</si>
  <si>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</si>
  <si>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</si>
  <si>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</si>
  <si>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</si>
  <si>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</si>
  <si>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</si>
  <si>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</si>
  <si>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</si>
  <si>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</si>
  <si>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</si>
  <si>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</si>
  <si>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</si>
  <si>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</si>
  <si>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</si>
  <si>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</si>
  <si>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</si>
  <si>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</si>
  <si>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</si>
  <si>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</si>
  <si>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</si>
  <si>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</si>
  <si>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</si>
  <si>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</si>
  <si>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</si>
  <si>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</si>
  <si>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</si>
  <si>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</si>
  <si>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</si>
  <si>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</si>
  <si>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</si>
  <si>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</si>
  <si>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</si>
  <si>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</si>
  <si>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</si>
  <si>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</si>
  <si>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</si>
  <si>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</si>
  <si>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</si>
  <si>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</si>
  <si>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</si>
  <si>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</si>
  <si>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</si>
  <si>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</si>
  <si>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</si>
  <si>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</si>
  <si>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</si>
  <si>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</si>
  <si>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</si>
  <si>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</si>
  <si>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</si>
  <si>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</si>
  <si>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</si>
  <si>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</si>
  <si>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</si>
  <si>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</si>
  <si>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</si>
  <si>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</si>
  <si>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</si>
  <si>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</si>
  <si>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</si>
  <si>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</si>
  <si>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</si>
  <si>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</si>
  <si>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</si>
  <si>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</si>
  <si>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</si>
  <si>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</si>
  <si>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</si>
  <si>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</si>
  <si>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</si>
  <si>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</si>
  <si>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</si>
  <si>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</si>
  <si>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</si>
  <si>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</si>
  <si>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</si>
  <si>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</si>
  <si>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</si>
  <si>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</si>
  <si>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</si>
  <si>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</si>
  <si>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</si>
  <si>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</si>
  <si>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</si>
  <si>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</si>
  <si>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</si>
  <si>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</si>
  <si>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</si>
  <si>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</si>
  <si>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</si>
  <si>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</si>
  <si>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</si>
  <si>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</si>
  <si>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</si>
  <si>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</si>
  <si>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</si>
  <si>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</si>
  <si>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</si>
  <si>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</si>
  <si>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</si>
  <si>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</si>
  <si>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</si>
  <si>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</si>
  <si>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</si>
  <si>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</si>
  <si>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</si>
  <si>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</si>
  <si>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</si>
  <si>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</si>
  <si>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</si>
  <si>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</si>
  <si>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</si>
  <si>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</si>
  <si>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</si>
  <si>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</si>
  <si>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</si>
  <si>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</si>
  <si>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</si>
  <si>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</si>
  <si>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</si>
  <si>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</si>
  <si>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</si>
  <si>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</si>
  <si>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</si>
  <si>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</si>
  <si>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</si>
  <si>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</si>
  <si>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</si>
  <si>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</si>
  <si>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</si>
  <si>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</si>
  <si>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</si>
  <si>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</si>
  <si>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</si>
  <si>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</si>
  <si>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</si>
  <si>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</si>
  <si>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</si>
  <si>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</si>
  <si>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</si>
  <si>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</si>
  <si>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</si>
  <si>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</si>
  <si>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</si>
  <si>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</si>
  <si>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</si>
  <si>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</si>
  <si>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</si>
  <si>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</si>
  <si>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</si>
  <si>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</si>
  <si>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</si>
  <si>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</si>
  <si>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</si>
  <si>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</si>
  <si>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</si>
  <si>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</si>
  <si>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</si>
  <si>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</si>
  <si>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</si>
  <si>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</si>
  <si>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</si>
  <si>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</si>
  <si>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</si>
  <si>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</si>
  <si>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</si>
  <si>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</si>
  <si>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</si>
  <si>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</si>
  <si>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</si>
  <si>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</si>
  <si>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</si>
  <si>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</si>
  <si>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</si>
  <si>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</si>
  <si>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</si>
  <si>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</si>
  <si>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</si>
  <si>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</si>
  <si>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</si>
  <si>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</si>
  <si>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</si>
  <si>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</si>
  <si>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</si>
  <si>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</si>
  <si>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</si>
  <si>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</si>
  <si>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</si>
  <si>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</si>
  <si>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</si>
  <si>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</si>
  <si>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</si>
  <si>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</si>
  <si>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</si>
  <si>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</si>
  <si>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</si>
  <si>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</si>
  <si>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</si>
  <si>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</si>
  <si>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</si>
  <si>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</si>
  <si>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</si>
  <si>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</si>
  <si>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</si>
  <si>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</si>
  <si>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</si>
  <si>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</si>
  <si>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</si>
  <si>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</si>
  <si>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</si>
  <si>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</si>
  <si>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</si>
  <si>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</si>
  <si>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</si>
  <si>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</si>
  <si>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</si>
  <si>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</si>
  <si>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</si>
  <si>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</si>
  <si>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</si>
  <si>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</si>
  <si>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</si>
  <si>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</si>
  <si>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</si>
  <si>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</si>
  <si>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</si>
  <si>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</si>
  <si>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</si>
  <si>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</si>
  <si>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</si>
  <si>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</si>
  <si>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</si>
  <si>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</si>
  <si>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</si>
  <si>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</si>
  <si>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</si>
  <si>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</si>
  <si>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</si>
  <si>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</si>
  <si>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</si>
  <si>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</si>
  <si>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</si>
  <si>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</si>
  <si>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</si>
  <si>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</si>
  <si>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</si>
  <si>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</si>
  <si>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</si>
  <si>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</si>
  <si>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</si>
  <si>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</si>
  <si>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</si>
  <si>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</si>
  <si>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</si>
  <si>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</si>
  <si>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</si>
  <si>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</si>
  <si>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</si>
  <si>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</si>
  <si>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</si>
  <si>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</si>
  <si>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</si>
  <si>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</si>
  <si>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</si>
  <si>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</si>
  <si>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</si>
  <si>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</si>
  <si>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</si>
  <si>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</si>
  <si>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</si>
  <si>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</si>
  <si>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</si>
  <si>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</si>
  <si>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</si>
  <si>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</si>
  <si>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</si>
  <si>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</si>
  <si>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</si>
  <si>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</si>
  <si>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</si>
  <si>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</si>
  <si>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</si>
  <si>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</si>
  <si>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</si>
  <si>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</si>
  <si>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</si>
  <si>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</si>
  <si>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</si>
  <si>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</si>
  <si>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</si>
  <si>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</si>
  <si>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</si>
  <si>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</si>
  <si>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</si>
  <si>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</si>
  <si>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</si>
  <si>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</si>
  <si>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</si>
  <si>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</si>
  <si>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</si>
  <si>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</si>
  <si>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</si>
  <si>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</si>
  <si>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</si>
  <si>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</si>
  <si>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</si>
  <si>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</si>
  <si>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</si>
  <si>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</si>
  <si>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</si>
  <si>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</si>
  <si>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</si>
  <si>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</si>
  <si>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</si>
  <si>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</si>
  <si>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</si>
  <si>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</si>
  <si>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</si>
  <si>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</si>
  <si>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</si>
  <si>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</si>
  <si>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</si>
  <si>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</si>
  <si>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</si>
  <si>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</si>
  <si>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</si>
  <si>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</si>
  <si>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</si>
  <si>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</si>
  <si>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</si>
  <si>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</si>
  <si>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</si>
  <si>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</si>
  <si>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</si>
  <si>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</si>
  <si>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</si>
  <si>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</si>
  <si>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</si>
  <si>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</si>
  <si>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</si>
  <si>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</si>
  <si>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</si>
  <si>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</si>
  <si>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</si>
  <si>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</si>
  <si>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</si>
  <si>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</si>
  <si>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</si>
  <si>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</si>
  <si>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</si>
  <si>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</si>
  <si>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</si>
  <si>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</si>
  <si>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</si>
  <si>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</si>
  <si>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</si>
  <si>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</si>
  <si>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</si>
  <si>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</si>
  <si>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</si>
  <si>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</si>
  <si>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</si>
  <si>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</si>
  <si>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</si>
  <si>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</si>
  <si>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</si>
  <si>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</si>
  <si>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</si>
  <si>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</si>
  <si>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</si>
  <si>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</si>
  <si>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</si>
  <si>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</si>
  <si>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</si>
  <si>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</si>
  <si>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</si>
  <si>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</si>
  <si>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</si>
  <si>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</si>
  <si>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</si>
  <si>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</si>
  <si>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</si>
  <si>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</si>
  <si>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</si>
  <si>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</si>
  <si>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</si>
  <si>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</si>
  <si>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</si>
  <si>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</si>
  <si>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</si>
  <si>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</si>
  <si>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</si>
  <si>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</si>
  <si>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</si>
  <si>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</si>
  <si>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</si>
  <si>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</si>
  <si>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</si>
  <si>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</si>
  <si>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</si>
  <si>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</si>
  <si>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</si>
  <si>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</si>
  <si>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</si>
  <si>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</si>
  <si>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</si>
  <si>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</si>
  <si>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</si>
  <si>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</si>
  <si>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</si>
  <si>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</si>
  <si>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</si>
  <si>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</si>
  <si>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</si>
  <si>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</si>
  <si>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</si>
  <si>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</si>
  <si>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</si>
  <si>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</si>
  <si>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</si>
  <si>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</si>
  <si>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</si>
  <si>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</si>
  <si>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</si>
  <si>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</si>
  <si>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</si>
  <si>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</si>
  <si>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</si>
  <si>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</si>
  <si>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</si>
  <si>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</si>
  <si>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</si>
  <si>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</si>
  <si>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</si>
  <si>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</si>
  <si>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</si>
  <si>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</si>
  <si>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</si>
  <si>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</si>
  <si>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</si>
  <si>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</si>
  <si>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</si>
  <si>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</si>
  <si>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</si>
  <si>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</si>
  <si>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</si>
  <si>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</si>
  <si>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</si>
  <si>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</si>
  <si>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</si>
  <si>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</si>
  <si>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</si>
  <si>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</si>
  <si>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</si>
  <si>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</si>
  <si>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</si>
  <si>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</si>
  <si>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</si>
  <si>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</si>
  <si>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</si>
  <si>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</si>
  <si>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</si>
  <si>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</si>
  <si>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</si>
  <si>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</si>
  <si>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</si>
  <si>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</si>
  <si>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</si>
  <si>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</si>
  <si>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</si>
  <si>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</si>
  <si>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</si>
  <si>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</si>
  <si>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</si>
  <si>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</si>
  <si>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</si>
  <si>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</si>
  <si>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</si>
  <si>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</si>
  <si>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</si>
  <si>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</si>
  <si>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</si>
  <si>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</si>
  <si>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</si>
  <si>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</si>
  <si>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</si>
  <si>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</si>
  <si>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</si>
  <si>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</si>
  <si>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</si>
  <si>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</si>
  <si>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</si>
  <si>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</si>
  <si>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</si>
  <si>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</si>
  <si>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</si>
  <si>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</si>
  <si>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</si>
  <si>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</si>
  <si>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</si>
  <si>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</si>
  <si>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</si>
  <si>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</si>
  <si>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</si>
  <si>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</si>
  <si>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</si>
  <si>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</si>
  <si>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</si>
  <si>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</si>
  <si>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</si>
  <si>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</si>
  <si>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</si>
  <si>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</si>
  <si>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</si>
  <si>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</si>
  <si>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</si>
  <si>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</si>
  <si>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</si>
  <si>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</si>
  <si>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</si>
  <si>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</si>
  <si>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</si>
  <si>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</si>
  <si>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</si>
  <si>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</si>
  <si>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</si>
  <si>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</si>
  <si>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</si>
  <si>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</si>
  <si>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</si>
  <si>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</si>
  <si>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</si>
  <si>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</si>
  <si>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</si>
  <si>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</si>
  <si>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</si>
  <si>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</si>
  <si>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</si>
  <si>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</si>
  <si>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</si>
  <si>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</si>
  <si>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</si>
  <si>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</si>
  <si>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</si>
  <si>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</si>
  <si>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</si>
  <si>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</si>
  <si>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</si>
  <si>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</si>
  <si>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</si>
  <si>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</si>
  <si>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</si>
  <si>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</si>
  <si>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</si>
  <si>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</si>
  <si>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</si>
  <si>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</si>
  <si>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</si>
  <si>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</si>
  <si>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</si>
  <si>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</si>
  <si>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</si>
  <si>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</si>
  <si>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</si>
  <si>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</si>
  <si>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</si>
  <si>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</si>
  <si>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</si>
  <si>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</si>
  <si>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</si>
  <si>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</si>
  <si>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</si>
  <si>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</si>
  <si>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</si>
  <si>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</si>
  <si>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</si>
  <si>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</si>
  <si>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</si>
  <si>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</si>
  <si>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</si>
  <si>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</si>
  <si>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</si>
  <si>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</si>
  <si>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</si>
  <si>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</si>
  <si>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</si>
  <si>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</si>
  <si>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</si>
  <si>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</si>
  <si>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</si>
  <si>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</si>
  <si>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</si>
  <si>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</si>
  <si>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</si>
  <si>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</si>
  <si>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</si>
  <si>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</si>
  <si>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</si>
  <si>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</si>
  <si>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</si>
  <si>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</si>
  <si>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</si>
  <si>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</si>
  <si>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</si>
  <si>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</si>
  <si>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</si>
  <si>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</si>
  <si>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</si>
  <si>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</si>
  <si>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</si>
  <si>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</si>
  <si>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</si>
  <si>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</si>
  <si>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</si>
  <si>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</si>
  <si>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</si>
  <si>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</si>
  <si>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</si>
  <si>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</si>
  <si>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</si>
  <si>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</si>
  <si>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</si>
  <si>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</si>
  <si>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</si>
  <si>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</si>
  <si>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</si>
  <si>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</si>
  <si>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</si>
  <si>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</si>
  <si>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</si>
  <si>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</si>
  <si>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</si>
  <si>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</si>
  <si>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</si>
  <si>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</si>
  <si>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</si>
  <si>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</si>
  <si>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</si>
  <si>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</si>
  <si>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</si>
  <si>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</si>
  <si>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</si>
  <si>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</si>
  <si>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</si>
  <si>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</si>
  <si>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</si>
  <si>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</si>
  <si>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</si>
  <si>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</si>
  <si>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</si>
  <si>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</si>
  <si>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</si>
  <si>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</si>
  <si>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</si>
  <si>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</si>
  <si>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</si>
  <si>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</si>
  <si>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</si>
  <si>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</si>
  <si>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</si>
  <si>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</si>
  <si>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</si>
  <si>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</si>
  <si>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</si>
  <si>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</si>
  <si>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</si>
  <si>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</si>
  <si>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</si>
  <si>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</si>
  <si>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</si>
  <si>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</si>
  <si>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</si>
  <si>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</si>
  <si>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</si>
  <si>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</si>
  <si>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</si>
  <si>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</si>
  <si>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</si>
  <si>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</si>
  <si>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</si>
  <si>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</si>
  <si>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</si>
  <si>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</si>
  <si>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</si>
  <si>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</si>
  <si>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</si>
  <si>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</si>
  <si>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</si>
  <si>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</si>
  <si>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</si>
  <si>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</si>
  <si>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</si>
  <si>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</si>
  <si>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</si>
  <si>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</si>
  <si>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</si>
  <si>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</si>
  <si>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</si>
  <si>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</si>
  <si>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</si>
  <si>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</si>
  <si>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</si>
  <si>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</si>
  <si>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</si>
  <si>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</si>
  <si>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</si>
  <si>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</si>
  <si>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</si>
  <si>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</si>
  <si>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</si>
  <si>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</si>
  <si>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</si>
  <si>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</si>
  <si>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</si>
  <si>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</si>
  <si>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</si>
  <si>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</si>
  <si>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</si>
  <si>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</si>
  <si>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</si>
  <si>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</si>
  <si>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</si>
  <si>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</si>
  <si>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</si>
  <si>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</si>
  <si>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</si>
  <si>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</si>
  <si>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</si>
  <si>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</si>
  <si>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</si>
  <si>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</si>
  <si>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</si>
  <si>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</si>
  <si>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</si>
  <si>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</si>
  <si>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</si>
  <si>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</si>
  <si>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</si>
  <si>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</si>
  <si>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</si>
  <si>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</si>
  <si>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</si>
  <si>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</si>
  <si>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</si>
  <si>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</si>
  <si>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</si>
  <si>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</si>
  <si>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</si>
  <si>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</si>
  <si>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</si>
  <si>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</si>
  <si>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</si>
  <si>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</si>
  <si>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</si>
  <si>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</si>
  <si>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</si>
  <si>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</si>
  <si>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</si>
  <si>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</si>
  <si>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</si>
  <si>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</si>
  <si>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</si>
  <si>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</si>
  <si>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</si>
  <si>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</si>
  <si>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</si>
  <si>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</si>
  <si>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</si>
  <si>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</si>
  <si>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</si>
  <si>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</si>
  <si>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</si>
  <si>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</si>
  <si>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</si>
  <si>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</si>
  <si>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</si>
  <si>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</si>
  <si>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</si>
  <si>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</si>
  <si>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</si>
  <si>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</si>
  <si>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</si>
  <si>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</si>
  <si>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</si>
  <si>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</si>
  <si>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</si>
  <si>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</si>
  <si>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</si>
  <si>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</si>
  <si>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</si>
  <si>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</si>
  <si>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</si>
  <si>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</si>
  <si>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</si>
  <si>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</si>
  <si>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</si>
  <si>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</si>
  <si>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</si>
  <si>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</si>
  <si>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</si>
  <si>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</si>
  <si>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</si>
  <si>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</si>
  <si>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</si>
  <si>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</si>
  <si>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</si>
  <si>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</si>
  <si>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</si>
  <si>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</si>
  <si>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</si>
  <si>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</si>
  <si>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</si>
  <si>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</si>
  <si>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</si>
  <si>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</si>
  <si>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</si>
  <si>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</si>
  <si>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</si>
  <si>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</si>
  <si>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</si>
  <si>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</si>
  <si>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</si>
  <si>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</si>
  <si>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</si>
  <si>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</si>
  <si>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</si>
  <si>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</si>
  <si>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</si>
  <si>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</si>
  <si>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</si>
  <si>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</si>
  <si>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</si>
  <si>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</si>
  <si>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</si>
  <si>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</si>
  <si>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</si>
  <si>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</si>
  <si>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</si>
  <si>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</si>
  <si>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</si>
  <si>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</si>
  <si>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</si>
  <si>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</si>
  <si>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</si>
  <si>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</si>
  <si>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</si>
  <si>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</si>
  <si>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</si>
  <si>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</si>
  <si>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</si>
  <si>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</si>
  <si>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</si>
  <si>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</si>
  <si>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</si>
  <si>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</si>
  <si>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</si>
  <si>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</si>
  <si>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</si>
  <si>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</si>
  <si>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</si>
  <si>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</si>
  <si>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</si>
  <si>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</si>
  <si>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</si>
  <si>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</si>
  <si>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</si>
  <si>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</si>
  <si>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</si>
  <si>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</si>
  <si>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</si>
  <si>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</si>
  <si>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</si>
  <si>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</si>
  <si>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</si>
  <si>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</si>
  <si>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</si>
  <si>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</si>
  <si>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</si>
  <si>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</si>
  <si>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</si>
  <si>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</si>
  <si>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</si>
  <si>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</si>
  <si>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</si>
  <si>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</si>
  <si>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</si>
  <si>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</si>
  <si>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</si>
  <si>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</si>
  <si>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</si>
  <si>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</si>
  <si>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</si>
  <si>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</si>
  <si>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</si>
  <si>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</si>
  <si>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</si>
  <si>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</si>
  <si>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</si>
  <si>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</si>
  <si>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</si>
  <si>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</si>
  <si>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</si>
  <si>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</si>
  <si>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</si>
  <si>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</si>
  <si>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</si>
  <si>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</si>
  <si>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</si>
  <si>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</si>
  <si>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</si>
  <si>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</si>
  <si>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</si>
  <si>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</si>
  <si>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</si>
  <si>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</si>
  <si>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</si>
  <si>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</si>
  <si>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</si>
  <si>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</si>
  <si>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</si>
  <si>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</si>
  <si>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</si>
  <si>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</si>
  <si>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</si>
  <si>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</si>
  <si>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</si>
  <si>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</si>
  <si>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</si>
  <si>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</si>
  <si>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</si>
  <si>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</si>
  <si>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</si>
  <si>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</si>
  <si>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</si>
  <si>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</si>
  <si>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</si>
  <si>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</si>
  <si>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</si>
  <si>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</si>
  <si>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</si>
  <si>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</si>
  <si>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</si>
  <si>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</si>
  <si>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</si>
  <si>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</si>
  <si>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</si>
  <si>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</si>
  <si>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</si>
  <si>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</si>
  <si>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</si>
  <si>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</si>
  <si>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</si>
  <si>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</si>
  <si>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</si>
  <si>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</si>
  <si>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</si>
  <si>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</si>
  <si>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</si>
  <si>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</si>
  <si>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</si>
  <si>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</si>
  <si>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</si>
  <si>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</si>
  <si>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</si>
  <si>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</si>
  <si>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</si>
  <si>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</si>
  <si>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</si>
  <si>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</si>
  <si>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</si>
  <si>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</si>
  <si>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</si>
  <si>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</si>
  <si>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</si>
  <si>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</si>
  <si>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</si>
  <si>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</si>
  <si>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</si>
  <si>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</si>
  <si>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</si>
  <si>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</si>
  <si>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</si>
  <si>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</si>
  <si>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</si>
  <si>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</si>
  <si>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</si>
  <si>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</si>
  <si>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</si>
  <si>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</si>
  <si>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</si>
  <si>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</si>
  <si>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</si>
  <si>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</si>
  <si>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</si>
  <si>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</si>
  <si>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</si>
  <si>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</si>
  <si>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</si>
  <si>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</si>
  <si>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</si>
  <si>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</si>
  <si>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</si>
  <si>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</si>
  <si>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</si>
  <si>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</si>
  <si>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</si>
  <si>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</si>
  <si>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</si>
  <si>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</si>
  <si>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</si>
  <si>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</si>
  <si>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</si>
  <si>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</si>
  <si>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</si>
  <si>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</si>
  <si>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</si>
  <si>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</si>
  <si>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</si>
  <si>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</si>
  <si>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</si>
  <si>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</si>
  <si>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</si>
  <si>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</si>
  <si>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</si>
  <si>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</si>
  <si>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</si>
  <si>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</si>
  <si>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</si>
  <si>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</si>
  <si>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</si>
  <si>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</si>
  <si>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</si>
  <si>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</si>
  <si>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</si>
  <si>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</si>
  <si>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</si>
  <si>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</si>
  <si>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</si>
  <si>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</si>
  <si>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</si>
  <si>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</si>
  <si>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</si>
  <si>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</si>
  <si>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</si>
  <si>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</si>
  <si>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</si>
  <si>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</si>
  <si>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</si>
  <si>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</si>
  <si>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</si>
  <si>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</si>
  <si>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</si>
  <si>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</si>
  <si>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</si>
  <si>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</si>
  <si>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</si>
  <si>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</si>
  <si>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</si>
  <si>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</si>
  <si>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</si>
  <si>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</si>
  <si>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</si>
  <si>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</si>
  <si>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</si>
  <si>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</si>
  <si>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</si>
  <si>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</si>
  <si>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</si>
  <si>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</si>
  <si>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</si>
  <si>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</si>
  <si>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</si>
  <si>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</si>
  <si>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</si>
  <si>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</si>
  <si>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</si>
  <si>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</si>
  <si>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</si>
  <si>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</si>
  <si>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</si>
  <si>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</si>
  <si>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</si>
  <si>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</si>
  <si>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</si>
  <si>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</si>
  <si>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</si>
  <si>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</si>
  <si>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</si>
  <si>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</si>
  <si>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</si>
  <si>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</si>
  <si>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</si>
  <si>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</si>
  <si>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</si>
  <si>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</si>
  <si>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</si>
  <si>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</si>
  <si>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</si>
  <si>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</si>
  <si>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</si>
  <si>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</si>
  <si>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</si>
  <si>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</si>
  <si>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</si>
  <si>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</si>
  <si>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</si>
  <si>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</si>
  <si>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</si>
  <si>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</si>
  <si>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</si>
  <si>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</si>
  <si>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</si>
  <si>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</si>
  <si>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</si>
  <si>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</si>
  <si>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</si>
  <si>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</si>
  <si>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</si>
  <si>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</si>
  <si>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</si>
  <si>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</si>
  <si>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</si>
  <si>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</si>
  <si>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</si>
  <si>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</si>
  <si>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</si>
  <si>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</si>
  <si>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</si>
  <si>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</si>
  <si>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</si>
  <si>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</si>
  <si>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</si>
  <si>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</si>
  <si>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</si>
  <si>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</si>
  <si>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</si>
  <si>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</si>
  <si>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</si>
  <si>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</si>
  <si>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</si>
  <si>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</si>
  <si>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</si>
  <si>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</si>
  <si>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</si>
  <si>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</si>
  <si>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</si>
  <si>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</si>
  <si>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</si>
  <si>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</si>
  <si>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</si>
  <si>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</si>
  <si>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</si>
  <si>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</si>
  <si>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</si>
  <si>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</si>
  <si>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</si>
  <si>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</si>
  <si>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</si>
  <si>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</si>
  <si>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</si>
  <si>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</si>
  <si>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</si>
  <si>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</si>
  <si>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</si>
  <si>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</si>
  <si>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</si>
  <si>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</si>
  <si>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</si>
  <si>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</si>
  <si>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</si>
  <si>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</si>
  <si>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</si>
  <si>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</si>
  <si>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</si>
  <si>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</si>
  <si>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</si>
  <si>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</si>
  <si>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</si>
  <si>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</si>
  <si>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</si>
  <si>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</si>
  <si>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</si>
  <si>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</si>
  <si>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</si>
  <si>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</si>
  <si>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</si>
  <si>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</si>
  <si>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</si>
  <si>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</si>
  <si>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</si>
  <si>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</si>
  <si>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</si>
  <si>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</si>
  <si>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</si>
  <si>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</si>
  <si>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</si>
  <si>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</si>
  <si>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</si>
  <si>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</si>
  <si>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</si>
  <si>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</si>
  <si>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</si>
  <si>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</si>
  <si>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</si>
  <si>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</si>
  <si>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</si>
  <si>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</si>
  <si>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</si>
  <si>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</si>
  <si>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</si>
  <si>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</si>
  <si>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</si>
  <si>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</si>
  <si>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</si>
  <si>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</si>
  <si>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</si>
  <si>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</si>
  <si>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</si>
  <si>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</si>
  <si>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</si>
  <si>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</si>
  <si>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</si>
  <si>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</si>
  <si>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</si>
  <si>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</si>
  <si>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</si>
  <si>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</si>
  <si>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</si>
  <si>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</si>
  <si>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</si>
  <si>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</si>
  <si>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</si>
  <si>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</si>
  <si>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</si>
  <si>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</si>
  <si>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</si>
  <si>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</si>
  <si>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</si>
  <si>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</si>
  <si>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</si>
  <si>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</si>
  <si>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</si>
  <si>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</si>
  <si>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</si>
  <si>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</si>
  <si>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</si>
  <si>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</si>
  <si>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</si>
  <si>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</si>
  <si>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</si>
  <si>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</si>
  <si>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</si>
  <si>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</si>
  <si>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</si>
  <si>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</si>
  <si>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</si>
  <si>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</si>
  <si>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</si>
  <si>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</si>
  <si>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</si>
  <si>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</si>
  <si>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</si>
  <si>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</si>
  <si>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</si>
  <si>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</si>
  <si>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</si>
  <si>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</si>
  <si>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</si>
  <si>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</si>
  <si>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</si>
  <si>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</si>
  <si>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</si>
  <si>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</si>
  <si>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</si>
  <si>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</si>
  <si>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</si>
  <si>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</si>
  <si>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</si>
  <si>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</si>
  <si>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</si>
  <si>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</si>
  <si>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</si>
  <si>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</si>
  <si>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</si>
  <si>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</si>
  <si>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</si>
  <si>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</si>
  <si>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</si>
  <si>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</si>
  <si>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</si>
  <si>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</si>
  <si>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</si>
  <si>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</si>
  <si>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</si>
  <si>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</si>
  <si>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</si>
  <si>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</si>
  <si>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</si>
  <si>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</si>
  <si>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</si>
  <si>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</si>
  <si>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</si>
  <si>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</si>
  <si>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</si>
  <si>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</si>
  <si>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</si>
  <si>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</si>
  <si>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</si>
  <si>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</si>
  <si>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</si>
  <si>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</si>
  <si>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</si>
  <si>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</si>
  <si>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</si>
  <si>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</si>
  <si>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</si>
  <si>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</si>
  <si>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</si>
  <si>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</si>
  <si>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</si>
  <si>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</si>
  <si>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</si>
  <si>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</si>
  <si>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</si>
  <si>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</si>
  <si>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</si>
  <si>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</si>
  <si>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</si>
  <si>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</si>
  <si>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</si>
  <si>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</si>
  <si>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</si>
  <si>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</si>
  <si>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</si>
  <si>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</si>
  <si>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</si>
  <si>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</si>
  <si>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</si>
  <si>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</si>
  <si>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</si>
  <si>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</si>
  <si>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</si>
  <si>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</si>
  <si>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</si>
  <si>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</si>
  <si>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</si>
  <si>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</si>
  <si>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</si>
  <si>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</si>
  <si>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</si>
  <si>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</si>
  <si>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</si>
  <si>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</si>
  <si>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</si>
  <si>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</si>
  <si>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</si>
  <si>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</si>
  <si>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</si>
  <si>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</si>
  <si>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</si>
  <si>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</si>
  <si>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</si>
  <si>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</si>
  <si>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</si>
  <si>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</si>
  <si>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</si>
  <si>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</si>
  <si>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</si>
  <si>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</si>
  <si>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</si>
  <si>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</si>
  <si>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</si>
  <si>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</si>
  <si>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</si>
  <si>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</si>
  <si>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</si>
  <si>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</si>
  <si>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</si>
  <si>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</si>
  <si>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</si>
  <si>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</si>
  <si>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</si>
  <si>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</si>
  <si>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</si>
  <si>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</si>
  <si>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</si>
  <si>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</si>
  <si>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</si>
  <si>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</si>
  <si>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</si>
  <si>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</si>
  <si>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</si>
  <si>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</si>
  <si>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</si>
  <si>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</si>
  <si>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</si>
  <si>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</si>
  <si>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</si>
  <si>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</si>
  <si>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</si>
  <si>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</si>
  <si>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</si>
  <si>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</si>
  <si>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</si>
  <si>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</si>
  <si>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</si>
  <si>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</si>
  <si>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</si>
  <si>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</si>
  <si>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</si>
  <si>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</si>
  <si>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</si>
  <si>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</si>
  <si>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</si>
  <si>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</si>
  <si>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</si>
  <si>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</si>
  <si>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</si>
  <si>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</si>
  <si>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</si>
  <si>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</si>
  <si>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</si>
  <si>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</si>
  <si>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</si>
  <si>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</si>
  <si>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</si>
  <si>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</si>
  <si>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</si>
  <si>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</si>
  <si>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</si>
  <si>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</si>
  <si>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</si>
  <si>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</si>
  <si>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</si>
  <si>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</si>
  <si>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</si>
  <si>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</si>
  <si>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</si>
  <si>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</si>
  <si>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</si>
  <si>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</si>
  <si>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</si>
  <si>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</si>
  <si>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</si>
  <si>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</si>
  <si>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</si>
  <si>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</si>
  <si>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</si>
  <si>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</si>
  <si>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</si>
  <si>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</si>
  <si>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</si>
  <si>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</si>
  <si>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</si>
  <si>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</si>
  <si>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</si>
  <si>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</si>
  <si>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</si>
  <si>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</si>
  <si>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</si>
  <si>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</si>
  <si>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</si>
  <si>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</si>
  <si>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</si>
  <si>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</si>
  <si>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</si>
  <si>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</si>
  <si>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</si>
  <si>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</si>
  <si>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</si>
  <si>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</si>
  <si>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</si>
  <si>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</si>
  <si>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</si>
  <si>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</si>
  <si>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</si>
  <si>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</si>
  <si>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</si>
  <si>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</si>
  <si>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</si>
  <si>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</si>
  <si>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</si>
  <si>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</si>
  <si>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</si>
  <si>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</si>
  <si>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</si>
  <si>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</si>
  <si>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</si>
  <si>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</si>
  <si>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</si>
  <si>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</si>
  <si>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</si>
  <si>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</si>
  <si>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</si>
  <si>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</si>
  <si>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</si>
  <si>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</si>
  <si>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</si>
  <si>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</si>
  <si>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</si>
  <si>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</si>
  <si>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</si>
  <si>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</si>
  <si>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</si>
  <si>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</si>
  <si>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</si>
  <si>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</si>
  <si>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</si>
  <si>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</si>
  <si>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</si>
  <si>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</si>
  <si>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</si>
  <si>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</si>
  <si>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</si>
  <si>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</si>
  <si>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</si>
  <si>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</si>
  <si>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</si>
  <si>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</si>
  <si>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</si>
  <si>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</si>
  <si>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</si>
  <si>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</si>
  <si>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</si>
  <si>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</si>
  <si>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</si>
  <si>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</si>
  <si>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</si>
  <si>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</si>
  <si>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</si>
  <si>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</si>
  <si>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</si>
  <si>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</si>
  <si>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</si>
  <si>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</si>
  <si>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</si>
  <si>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</si>
  <si>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</si>
  <si>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</si>
  <si>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</si>
  <si>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</si>
  <si>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</si>
  <si>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</si>
  <si>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</si>
  <si>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</si>
  <si>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</si>
  <si>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</si>
  <si>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</si>
  <si>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</si>
  <si>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</si>
  <si>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</si>
  <si>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</si>
  <si>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</si>
  <si>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</si>
  <si>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</si>
  <si>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</si>
  <si>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</si>
  <si>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</si>
  <si>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</si>
  <si>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</si>
  <si>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</si>
  <si>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</si>
  <si>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</si>
  <si>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</si>
  <si>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</si>
  <si>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</si>
  <si>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</si>
  <si>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</si>
  <si>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</si>
  <si>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</si>
  <si>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</si>
  <si>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</si>
  <si>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</si>
  <si>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</si>
  <si>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</si>
  <si>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</si>
  <si>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</si>
  <si>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</si>
  <si>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</si>
  <si>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</si>
  <si>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</si>
  <si>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</si>
  <si>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</si>
  <si>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</si>
  <si>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</si>
  <si>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</si>
  <si>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</si>
  <si>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</si>
  <si>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</si>
  <si>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</si>
  <si>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</si>
  <si>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</si>
  <si>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</si>
  <si>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</si>
  <si>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</si>
  <si>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</si>
  <si>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</si>
  <si>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</si>
  <si>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</si>
  <si>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</si>
  <si>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</si>
  <si>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</si>
  <si>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</si>
  <si>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</si>
  <si>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</si>
  <si>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</si>
  <si>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</si>
  <si>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</si>
  <si>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</si>
  <si>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</si>
  <si>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</si>
  <si>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</si>
  <si>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</si>
  <si>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</si>
  <si>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</si>
  <si>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</si>
  <si>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</si>
  <si>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</si>
  <si>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</si>
  <si>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</si>
  <si>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</si>
  <si>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</si>
  <si>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</si>
  <si>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</si>
  <si>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</si>
  <si>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</si>
  <si>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</si>
  <si>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</si>
  <si>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</si>
  <si>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</si>
  <si>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</si>
  <si>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</si>
  <si>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</si>
  <si>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</si>
  <si>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</si>
  <si>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</si>
  <si>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</si>
  <si>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</si>
  <si>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</si>
  <si>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</si>
  <si>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</si>
  <si>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</si>
  <si>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</si>
  <si>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</si>
  <si>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</si>
  <si>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</si>
  <si>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</si>
  <si>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</si>
  <si>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</si>
  <si>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</si>
  <si>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</si>
  <si>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</si>
  <si>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</si>
  <si>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</si>
  <si>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</si>
  <si>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</si>
  <si>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</si>
  <si>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</si>
  <si>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</si>
  <si>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</si>
  <si>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</si>
  <si>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</si>
  <si>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</si>
  <si>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</si>
  <si>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</si>
  <si>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</si>
  <si>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</si>
  <si>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</si>
  <si>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</si>
  <si>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</si>
  <si>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</si>
  <si>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</si>
  <si>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</si>
  <si>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</si>
  <si>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</si>
  <si>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</si>
  <si>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</si>
  <si>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</si>
  <si>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</si>
  <si>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</si>
  <si>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</si>
  <si>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</si>
  <si>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</si>
  <si>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</si>
  <si>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</si>
  <si>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</si>
  <si>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</si>
  <si>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</si>
  <si>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</si>
  <si>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</si>
  <si>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</si>
  <si>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</si>
  <si>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</si>
  <si>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</si>
  <si>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</si>
  <si>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</si>
  <si>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</si>
  <si>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</si>
  <si>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</si>
  <si>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</si>
  <si>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</si>
  <si>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</si>
  <si>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</si>
  <si>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</si>
  <si>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</si>
  <si>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</si>
  <si>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</si>
  <si>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</si>
  <si>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</si>
  <si>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</si>
  <si>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</si>
  <si>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</si>
  <si>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</si>
  <si>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</si>
  <si>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</si>
  <si>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</si>
  <si>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</si>
  <si>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</si>
  <si>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</si>
  <si>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</si>
  <si>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</si>
  <si>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</si>
  <si>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</si>
  <si>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</si>
  <si>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</si>
  <si>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</si>
  <si>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</si>
  <si>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</si>
  <si>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</si>
  <si>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</si>
  <si>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</si>
  <si>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</si>
  <si>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</si>
  <si>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</si>
  <si>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</si>
  <si>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</si>
  <si>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</si>
  <si>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</si>
  <si>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</si>
  <si>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</si>
  <si>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</si>
  <si>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</si>
  <si>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</si>
  <si>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</si>
  <si>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</si>
  <si>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</si>
  <si>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</si>
  <si>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</si>
  <si>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</si>
  <si>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</si>
  <si>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</si>
  <si>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</si>
  <si>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</si>
  <si>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</si>
  <si>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</si>
  <si>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</si>
  <si>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</si>
  <si>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</si>
  <si>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</si>
  <si>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</si>
  <si>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</si>
  <si>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</si>
  <si>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</si>
  <si>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</si>
  <si>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</si>
  <si>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</si>
  <si>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</si>
  <si>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</si>
  <si>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</si>
  <si>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</si>
  <si>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</si>
  <si>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</si>
  <si>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</si>
  <si>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</si>
  <si>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</si>
  <si>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</si>
  <si>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</si>
  <si>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</si>
  <si>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</si>
  <si>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</si>
  <si>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</si>
  <si>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</si>
  <si>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</si>
  <si>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</si>
  <si>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</si>
  <si>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</si>
  <si>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</si>
  <si>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</si>
  <si>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</si>
  <si>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</si>
  <si>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</si>
  <si>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</si>
  <si>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</si>
  <si>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</si>
  <si>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</si>
  <si>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</si>
  <si>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</si>
  <si>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</si>
  <si>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</si>
  <si>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</si>
  <si>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</si>
  <si>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</si>
  <si>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</si>
  <si>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</si>
  <si>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</si>
  <si>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</si>
  <si>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</si>
  <si>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</si>
  <si>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</si>
  <si>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</si>
  <si>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</si>
  <si>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</si>
  <si>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</si>
  <si>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</si>
  <si>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</si>
  <si>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</si>
  <si>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</si>
  <si>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</si>
  <si>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</si>
  <si>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</si>
  <si>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</si>
  <si>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</si>
  <si>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</si>
  <si>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</si>
  <si>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</si>
  <si>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</si>
  <si>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</si>
  <si>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</si>
  <si>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</si>
  <si>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</si>
  <si>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</si>
  <si>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</si>
  <si>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</si>
  <si>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</si>
  <si>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</si>
  <si>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</si>
  <si>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</si>
  <si>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</si>
  <si>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</si>
  <si>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</si>
  <si>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</si>
  <si>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</si>
  <si>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</si>
  <si>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</si>
  <si>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</si>
  <si>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</si>
  <si>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</si>
  <si>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</si>
  <si>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</si>
  <si>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</si>
  <si>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</si>
  <si>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</si>
  <si>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</si>
  <si>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</si>
  <si>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</si>
  <si>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</si>
  <si>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</si>
  <si>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</si>
  <si>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</si>
  <si>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</si>
  <si>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</si>
  <si>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</si>
  <si>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</si>
  <si>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</si>
  <si>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</si>
  <si>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</si>
  <si>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</si>
  <si>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</si>
  <si>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</si>
  <si>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</si>
  <si>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</si>
  <si>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</si>
  <si>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</si>
  <si>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</si>
  <si>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</si>
  <si>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</si>
  <si>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</si>
  <si>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</si>
  <si>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</si>
  <si>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</si>
  <si>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</si>
  <si>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</si>
  <si>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</si>
  <si>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</si>
  <si>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</si>
  <si>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</si>
  <si>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</si>
  <si>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</si>
  <si>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</si>
  <si>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</si>
  <si>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</si>
  <si>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</si>
  <si>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</si>
  <si>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</si>
  <si>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</si>
  <si>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</si>
  <si>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</si>
  <si>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</si>
  <si>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</si>
  <si>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</si>
  <si>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</si>
  <si>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</si>
  <si>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</si>
  <si>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</si>
  <si>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</si>
  <si>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</si>
  <si>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</si>
  <si>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</si>
  <si>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</si>
  <si>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</si>
  <si>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</si>
  <si>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</si>
  <si>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</si>
  <si>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</si>
  <si>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</si>
  <si>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</si>
  <si>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</si>
  <si>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</si>
  <si>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</si>
  <si>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</si>
  <si>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</si>
  <si>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</si>
  <si>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</si>
  <si>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</si>
  <si>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</si>
  <si>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</si>
  <si>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</si>
  <si>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</si>
  <si>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</si>
  <si>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</si>
  <si>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</si>
  <si>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</si>
  <si>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</si>
  <si>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</si>
  <si>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</si>
  <si>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</si>
  <si>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</si>
  <si>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</si>
  <si>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</si>
  <si>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</si>
  <si>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</si>
  <si>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</si>
  <si>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</si>
  <si>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</si>
  <si>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</si>
  <si>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</si>
  <si>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</si>
  <si>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</si>
  <si>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</si>
  <si>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</si>
  <si>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</si>
  <si>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</si>
  <si>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</si>
  <si>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</si>
  <si>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</si>
  <si>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</si>
  <si>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</si>
  <si>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</si>
  <si>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</si>
  <si>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</si>
  <si>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</si>
  <si>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</si>
  <si>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</si>
  <si>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</si>
  <si>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</si>
  <si>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</si>
  <si>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</si>
  <si>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</si>
  <si>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</si>
  <si>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</si>
  <si>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</si>
  <si>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</si>
  <si>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</si>
  <si>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</si>
  <si>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</si>
  <si>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</si>
  <si>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</si>
  <si>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</si>
  <si>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</si>
  <si>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</si>
  <si>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</si>
  <si>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</si>
  <si>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</si>
  <si>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</si>
  <si>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</si>
  <si>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</si>
  <si>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</si>
  <si>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</si>
  <si>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</si>
  <si>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</si>
  <si>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</si>
  <si>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</si>
  <si>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</si>
  <si>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</si>
  <si>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</si>
  <si>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</si>
  <si>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</si>
  <si>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</si>
  <si>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</si>
  <si>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</si>
  <si>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</si>
  <si>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</si>
  <si>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</si>
  <si>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</si>
  <si>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</si>
  <si>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</si>
  <si>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</si>
  <si>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</si>
  <si>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</si>
  <si>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</si>
  <si>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</si>
  <si>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</si>
  <si>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</si>
  <si>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</si>
  <si>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</si>
  <si>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</si>
  <si>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</si>
  <si>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</si>
  <si>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</si>
  <si>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</si>
  <si>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</si>
  <si>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</si>
  <si>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</si>
  <si>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</si>
  <si>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</si>
  <si>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</si>
  <si>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</si>
  <si>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</si>
  <si>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</si>
  <si>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</si>
  <si>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</si>
  <si>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</si>
  <si>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</si>
  <si>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</si>
  <si>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</si>
  <si>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</si>
  <si>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</si>
  <si>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</si>
  <si>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</si>
  <si>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</si>
  <si>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</si>
  <si>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</si>
  <si>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</si>
  <si>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</si>
  <si>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</si>
  <si>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</si>
  <si>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</si>
  <si>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</si>
  <si>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</si>
  <si>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</si>
  <si>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</si>
  <si>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</si>
  <si>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</si>
  <si>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</si>
  <si>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</si>
  <si>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</si>
  <si>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</si>
  <si>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</si>
  <si>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</si>
  <si>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</si>
  <si>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</si>
  <si>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</si>
  <si>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</si>
  <si>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</si>
  <si>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</si>
  <si>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</si>
  <si>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</si>
  <si>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</si>
  <si>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</si>
  <si>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</si>
  <si>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</si>
  <si>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</si>
  <si>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</si>
  <si>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</si>
  <si>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</si>
  <si>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</si>
  <si>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</si>
  <si>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</si>
  <si>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</si>
  <si>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</si>
  <si>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</si>
  <si>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</si>
  <si>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</si>
  <si>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</si>
  <si>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</si>
  <si>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</si>
  <si>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</si>
  <si>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</si>
  <si>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</si>
  <si>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</si>
  <si>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</si>
  <si>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</si>
  <si>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</si>
  <si>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</si>
  <si>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</si>
  <si>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</si>
  <si>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</si>
  <si>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</si>
  <si>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</si>
  <si>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</si>
  <si>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</si>
  <si>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</si>
  <si>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</si>
  <si>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</si>
  <si>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</si>
  <si>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</si>
  <si>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</si>
  <si>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</si>
  <si>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</si>
  <si>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</si>
  <si>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</si>
  <si>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</si>
  <si>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</si>
  <si>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</si>
  <si>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</si>
  <si>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</si>
  <si>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</si>
  <si>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</si>
  <si>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</si>
  <si>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</si>
  <si>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</si>
  <si>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</si>
  <si>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</si>
  <si>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</si>
  <si>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</si>
  <si>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</si>
  <si>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</si>
  <si>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</si>
  <si>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</si>
  <si>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</si>
  <si>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</si>
  <si>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</si>
  <si>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</si>
  <si>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</si>
  <si>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</si>
  <si>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</si>
  <si>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</si>
  <si>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</si>
  <si>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</si>
  <si>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</si>
  <si>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</si>
  <si>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</si>
  <si>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</si>
  <si>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</si>
  <si>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</si>
  <si>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</si>
  <si>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</si>
  <si>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</si>
  <si>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</si>
  <si>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</si>
  <si>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</si>
  <si>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</si>
  <si>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</si>
  <si>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</si>
  <si>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</si>
  <si>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</si>
  <si>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</si>
  <si>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</si>
  <si>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</si>
  <si>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</si>
  <si>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</si>
  <si>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</si>
  <si>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</si>
  <si>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</si>
  <si>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</si>
  <si>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</si>
  <si>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</si>
  <si>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</si>
  <si>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</si>
  <si>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</si>
  <si>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</si>
  <si>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</si>
  <si>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</si>
  <si>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</si>
  <si>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</si>
  <si>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</si>
  <si>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</si>
  <si>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</si>
  <si>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</si>
  <si>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</si>
  <si>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</si>
  <si>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</si>
  <si>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</si>
  <si>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</si>
  <si>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</si>
  <si>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</si>
  <si>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</si>
  <si>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</si>
  <si>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</si>
  <si>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</si>
  <si>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</si>
  <si>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</si>
  <si>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</si>
  <si>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</si>
  <si>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</si>
  <si>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</si>
  <si>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</si>
  <si>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</si>
  <si>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</si>
  <si>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</si>
  <si>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</si>
  <si>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</si>
  <si>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</si>
  <si>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</si>
  <si>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</si>
  <si>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</si>
  <si>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</si>
  <si>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</si>
  <si>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</si>
  <si>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</si>
  <si>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</si>
  <si>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</si>
  <si>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</si>
  <si>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</si>
  <si>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</si>
  <si>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</si>
  <si>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</si>
  <si>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</si>
  <si>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</si>
  <si>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</si>
  <si>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</si>
  <si>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</si>
  <si>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</si>
  <si>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</si>
  <si>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</si>
  <si>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</si>
  <si>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</si>
  <si>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</si>
  <si>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</si>
  <si>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</si>
  <si>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</si>
  <si>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</si>
  <si>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</si>
  <si>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</si>
  <si>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</si>
  <si>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</si>
  <si>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</si>
  <si>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</si>
  <si>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</si>
  <si>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</si>
  <si>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</si>
  <si>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</si>
  <si>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</si>
  <si>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</si>
  <si>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</si>
  <si>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</si>
  <si>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</si>
  <si>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</si>
  <si>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</si>
  <si>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</si>
  <si>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</si>
  <si>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</si>
  <si>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</si>
  <si>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</si>
  <si>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</si>
  <si>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</si>
  <si>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</si>
  <si>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</si>
  <si>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</si>
  <si>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</si>
  <si>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</si>
  <si>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</si>
  <si>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</si>
  <si>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</si>
  <si>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</si>
  <si>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</si>
  <si>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</si>
  <si>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</si>
  <si>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</si>
  <si>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</si>
  <si>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</si>
  <si>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</si>
  <si>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</si>
  <si>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</si>
  <si>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</si>
  <si>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</si>
  <si>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</si>
  <si>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</si>
  <si>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</si>
  <si>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</si>
  <si>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</si>
  <si>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</si>
  <si>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</si>
  <si>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</si>
  <si>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</si>
  <si>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</si>
  <si>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</si>
  <si>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</si>
  <si>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</si>
  <si>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</si>
  <si>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</si>
  <si>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</si>
  <si>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</si>
  <si>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</si>
  <si>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</si>
  <si>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</si>
  <si>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</si>
  <si>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</si>
  <si>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</si>
  <si>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</si>
  <si>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</si>
  <si>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</si>
  <si>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</si>
  <si>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</si>
  <si>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</si>
  <si>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</si>
  <si>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</si>
  <si>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</si>
  <si>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</si>
  <si>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</si>
  <si>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</si>
  <si>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</si>
  <si>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</si>
  <si>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</si>
  <si>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</si>
  <si>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</si>
  <si>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</si>
  <si>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</si>
  <si>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</si>
  <si>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</si>
  <si>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</si>
  <si>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</si>
  <si>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</si>
  <si>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</si>
  <si>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</si>
  <si>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</si>
  <si>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</si>
  <si>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</si>
  <si>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</si>
  <si>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</si>
  <si>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</si>
  <si>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</si>
  <si>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</si>
  <si>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</si>
  <si>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</si>
  <si>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</si>
  <si>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</si>
  <si>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</si>
  <si>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</si>
  <si>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</si>
  <si>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</si>
  <si>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</si>
  <si>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</si>
  <si>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</si>
  <si>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</si>
  <si>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</si>
  <si>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</si>
  <si>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</si>
  <si>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</si>
  <si>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</si>
  <si>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</si>
  <si>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</si>
  <si>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</si>
  <si>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</si>
  <si>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</si>
  <si>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</si>
  <si>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</si>
  <si>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</si>
  <si>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</si>
  <si>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</si>
  <si>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</si>
  <si>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</si>
  <si>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</si>
  <si>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</si>
  <si>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</si>
  <si>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</si>
  <si>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</si>
  <si>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</si>
  <si>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</si>
  <si>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</si>
  <si>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</si>
  <si>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</si>
  <si>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</si>
  <si>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</si>
  <si>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</si>
  <si>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</si>
  <si>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</si>
  <si>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</si>
  <si>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</si>
  <si>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</si>
  <si>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</si>
  <si>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</si>
  <si>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</si>
  <si>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</si>
  <si>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</si>
  <si>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</si>
  <si>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</si>
  <si>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</si>
  <si>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</si>
  <si>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</si>
  <si>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</si>
  <si>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</si>
  <si>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</si>
  <si>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</si>
  <si>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</si>
  <si>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</si>
  <si>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</si>
  <si>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</si>
  <si>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</si>
  <si>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</si>
  <si>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</si>
  <si>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</si>
  <si>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</si>
  <si>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</si>
  <si>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</si>
  <si>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</si>
  <si>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</si>
  <si>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</si>
  <si>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</si>
  <si>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</si>
  <si>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</si>
  <si>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</si>
  <si>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</si>
  <si>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</si>
  <si>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</si>
  <si>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</si>
  <si>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</si>
  <si>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</si>
  <si>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</si>
  <si>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</si>
  <si>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</si>
  <si>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</si>
  <si>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</si>
  <si>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</si>
  <si>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</si>
  <si>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</si>
  <si>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</si>
  <si>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</si>
  <si>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</si>
  <si>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</si>
  <si>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</si>
  <si>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</si>
  <si>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</si>
  <si>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</si>
  <si>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</si>
  <si>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</si>
  <si>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</si>
  <si>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</si>
  <si>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</si>
  <si>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</si>
  <si>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</si>
  <si>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</si>
  <si>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</si>
  <si>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</si>
  <si>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</si>
  <si>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</si>
  <si>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</si>
  <si>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</si>
  <si>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</si>
  <si>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</si>
  <si>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</si>
  <si>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</si>
  <si>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</si>
  <si>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</si>
  <si>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</si>
  <si>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</si>
  <si>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</si>
  <si>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</si>
  <si>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</si>
  <si>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</si>
  <si>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</si>
  <si>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</si>
  <si>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</si>
  <si>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</si>
  <si>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</si>
  <si>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</si>
  <si>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</si>
  <si>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</si>
  <si>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</si>
  <si>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</si>
  <si>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</si>
  <si>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</si>
  <si>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</si>
  <si>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</si>
  <si>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</si>
  <si>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</si>
  <si>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</si>
  <si>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</si>
  <si>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</si>
  <si>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</si>
  <si>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</si>
  <si>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</si>
  <si>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</si>
  <si>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</si>
  <si>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</si>
  <si>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</si>
  <si>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</si>
  <si>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</si>
  <si>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</si>
  <si>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</si>
  <si>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</si>
  <si>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</si>
  <si>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</si>
  <si>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</si>
  <si>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</si>
  <si>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</si>
  <si>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</si>
  <si>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</si>
  <si>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</si>
  <si>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</si>
  <si>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</si>
  <si>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</si>
  <si>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</si>
  <si>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</si>
  <si>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</si>
  <si>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</si>
  <si>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</si>
  <si>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</si>
  <si>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</si>
  <si>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</si>
  <si>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</si>
  <si>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</si>
  <si>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</si>
  <si>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</si>
  <si>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</si>
  <si>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</si>
  <si>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</si>
  <si>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</si>
  <si>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</si>
  <si>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</si>
  <si>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</si>
  <si>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</si>
  <si>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</si>
  <si>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</si>
  <si>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</si>
  <si>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</si>
  <si>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</si>
  <si>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</si>
  <si>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</si>
  <si>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</si>
  <si>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</si>
  <si>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</si>
  <si>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</si>
  <si>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</si>
  <si>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</si>
  <si>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</si>
  <si>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</si>
  <si>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</si>
  <si>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</si>
  <si>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</si>
  <si>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</si>
  <si>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</si>
  <si>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</si>
  <si>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</si>
  <si>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</si>
  <si>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</si>
  <si>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</si>
  <si>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</si>
  <si>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</si>
  <si>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</si>
  <si>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</si>
  <si>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</si>
  <si>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</si>
  <si>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</si>
  <si>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</si>
  <si>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</si>
  <si>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</si>
  <si>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</si>
  <si>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</si>
  <si>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</si>
  <si>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</si>
  <si>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</si>
  <si>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</si>
  <si>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</si>
  <si>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</si>
  <si>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</si>
  <si>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</si>
  <si>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</si>
  <si>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</si>
  <si>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</si>
  <si>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</si>
  <si>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</si>
  <si>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</si>
  <si>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</si>
  <si>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</si>
  <si>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</si>
  <si>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</si>
  <si>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</si>
  <si>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</si>
  <si>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</si>
  <si>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</si>
  <si>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</si>
  <si>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</si>
  <si>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</si>
  <si>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</si>
  <si>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</si>
  <si>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</si>
  <si>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</si>
  <si>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</si>
  <si>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</si>
  <si>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</si>
  <si>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</si>
  <si>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</si>
  <si>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</si>
  <si>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</si>
  <si>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</si>
  <si>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</si>
  <si>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</si>
  <si>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</si>
  <si>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</si>
  <si>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</si>
  <si>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</si>
  <si>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</si>
  <si>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</si>
  <si>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</si>
  <si>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</si>
  <si>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</si>
  <si>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</si>
  <si>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</si>
  <si>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</si>
  <si>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</si>
  <si>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</si>
  <si>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</si>
  <si>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</si>
  <si>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</si>
  <si>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</si>
  <si>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</si>
  <si>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</si>
  <si>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</si>
  <si>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</si>
  <si>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</si>
  <si>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</si>
  <si>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</si>
  <si>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</si>
  <si>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</si>
  <si>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</si>
  <si>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</si>
  <si>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</si>
  <si>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</si>
  <si>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</si>
  <si>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</si>
  <si>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</si>
  <si>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</si>
  <si>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</si>
  <si>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</si>
  <si>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</si>
  <si>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</si>
  <si>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</si>
  <si>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</si>
  <si>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</si>
  <si>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</si>
  <si>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</si>
  <si>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</si>
  <si>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</si>
  <si>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</si>
  <si>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</si>
  <si>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</si>
  <si>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</si>
  <si>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</si>
  <si>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</si>
  <si>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</si>
  <si>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</si>
  <si>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</si>
  <si>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</si>
  <si>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</si>
  <si>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</si>
  <si>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</si>
  <si>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</si>
  <si>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</si>
  <si>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</si>
  <si>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</si>
  <si>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</si>
  <si>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</si>
  <si>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</si>
  <si>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</si>
  <si>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</si>
  <si>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</si>
  <si>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</si>
  <si>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</si>
  <si>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</si>
  <si>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</si>
  <si>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</si>
  <si>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</si>
  <si>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</si>
  <si>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</si>
  <si>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</si>
  <si>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</si>
  <si>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</si>
  <si>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</si>
  <si>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</si>
  <si>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</si>
  <si>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</si>
  <si>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</si>
  <si>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</si>
  <si>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</si>
  <si>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</si>
  <si>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</si>
  <si>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</si>
  <si>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</si>
  <si>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</si>
  <si>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</si>
  <si>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</si>
  <si>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</si>
  <si>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</si>
  <si>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</si>
  <si>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</si>
  <si>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</si>
  <si>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</si>
  <si>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</si>
  <si>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</si>
  <si>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</si>
  <si>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</si>
  <si>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</si>
  <si>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</si>
  <si>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</si>
  <si>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</si>
  <si>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</si>
  <si>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</si>
  <si>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</si>
  <si>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</si>
  <si>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</si>
  <si>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</si>
  <si>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</si>
  <si>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</si>
  <si>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</si>
  <si>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</si>
  <si>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</si>
  <si>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</si>
  <si>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</si>
  <si>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</si>
  <si>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</si>
  <si>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</si>
  <si>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</si>
  <si>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</si>
  <si>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</si>
  <si>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</si>
  <si>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</si>
  <si>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</si>
  <si>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</si>
  <si>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</si>
  <si>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</si>
  <si>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</si>
  <si>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</si>
  <si>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</si>
  <si>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</si>
  <si>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</si>
  <si>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</si>
  <si>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</si>
  <si>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</si>
  <si>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</si>
  <si>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</si>
  <si>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</si>
  <si>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</si>
  <si>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</si>
  <si>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</si>
  <si>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</si>
  <si>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</si>
  <si>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</si>
  <si>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</si>
  <si>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</si>
  <si>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</si>
  <si>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</si>
  <si>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</si>
  <si>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</si>
  <si>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</si>
  <si>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</si>
  <si>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</si>
  <si>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</si>
  <si>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</si>
  <si>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</si>
  <si>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</si>
  <si>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</si>
  <si>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</si>
  <si>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</si>
  <si>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</si>
  <si>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</si>
  <si>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</si>
  <si>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</si>
  <si>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</si>
  <si>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</si>
  <si>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</si>
  <si>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</si>
  <si>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</si>
  <si>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</si>
  <si>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</si>
  <si>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</si>
  <si>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</si>
  <si>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</si>
  <si>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</si>
  <si>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</si>
  <si>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</si>
  <si>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</si>
  <si>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</si>
  <si>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</si>
  <si>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</si>
  <si>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</si>
  <si>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</si>
  <si>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</si>
  <si>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</si>
  <si>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</si>
  <si>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</si>
  <si>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</si>
  <si>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</si>
  <si>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</si>
  <si>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</si>
  <si>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</si>
  <si>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</si>
  <si>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</si>
  <si>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</si>
  <si>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</si>
  <si>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</si>
  <si>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</si>
  <si>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</si>
  <si>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</si>
  <si>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</si>
  <si>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</si>
  <si>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</si>
  <si>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</si>
  <si>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</si>
  <si>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</si>
  <si>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</si>
  <si>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</si>
  <si>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</si>
  <si>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</si>
  <si>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</si>
  <si>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</si>
  <si>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</si>
  <si>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</si>
  <si>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</si>
  <si>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</si>
  <si>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</si>
  <si>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</si>
  <si>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</si>
  <si>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</si>
  <si>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</si>
  <si>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</si>
  <si>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</si>
  <si>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</si>
  <si>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</si>
  <si>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</si>
  <si>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</si>
  <si>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</si>
  <si>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</si>
  <si>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</si>
  <si>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</si>
  <si>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</si>
  <si>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</si>
  <si>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</si>
  <si>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</si>
  <si>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</si>
  <si>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</si>
  <si>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</si>
  <si>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</si>
  <si>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</si>
  <si>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</si>
  <si>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</si>
  <si>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</si>
  <si>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</si>
  <si>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</si>
  <si>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</si>
  <si>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</si>
  <si>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</si>
  <si>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</si>
  <si>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</si>
  <si>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</si>
  <si>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</si>
  <si>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</si>
  <si>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</si>
  <si>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</si>
  <si>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</si>
  <si>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</si>
  <si>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</si>
  <si>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</si>
  <si>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</si>
  <si>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</si>
  <si>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</si>
  <si>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</si>
  <si>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</si>
  <si>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</si>
  <si>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</si>
  <si>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</si>
  <si>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</si>
  <si>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</si>
  <si>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</si>
  <si>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</si>
  <si>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</si>
  <si>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</si>
  <si>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</si>
  <si>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</si>
  <si>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</si>
  <si>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</si>
  <si>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</si>
  <si>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</si>
  <si>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</si>
  <si>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</si>
  <si>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</si>
  <si>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</si>
  <si>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</si>
  <si>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</si>
  <si>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</si>
  <si>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</si>
  <si>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</si>
  <si>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</si>
  <si>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</si>
  <si>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</si>
  <si>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</si>
  <si>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</si>
  <si>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</si>
  <si>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</si>
  <si>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</si>
  <si>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</si>
  <si>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</si>
  <si>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</si>
  <si>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</si>
  <si>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</si>
  <si>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</si>
  <si>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</si>
  <si>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</si>
  <si>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</si>
  <si>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</si>
  <si>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</si>
  <si>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</si>
  <si>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</si>
  <si>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</si>
  <si>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</si>
  <si>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</si>
  <si>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</si>
  <si>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</si>
  <si>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</si>
  <si>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</si>
  <si>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</si>
  <si>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</si>
  <si>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</si>
  <si>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</si>
  <si>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</si>
  <si>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</si>
  <si>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</si>
  <si>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</si>
  <si>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</si>
  <si>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</si>
  <si>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</si>
  <si>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</si>
  <si>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</si>
  <si>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</si>
  <si>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</si>
  <si>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</si>
  <si>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</si>
  <si>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</si>
  <si>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</si>
  <si>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</si>
  <si>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</si>
  <si>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</si>
  <si>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</si>
  <si>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</si>
  <si>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</si>
  <si>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</si>
  <si>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</si>
  <si>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</si>
  <si>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</si>
  <si>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</si>
  <si>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</si>
  <si>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</si>
  <si>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</si>
  <si>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</si>
  <si>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</si>
  <si>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</si>
  <si>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</si>
  <si>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</si>
  <si>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</si>
  <si>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</si>
  <si>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</si>
  <si>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</si>
  <si>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</si>
  <si>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</si>
  <si>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</si>
  <si>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</si>
  <si>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</si>
  <si>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</si>
  <si>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</si>
  <si>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</si>
  <si>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</si>
  <si>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</si>
  <si>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</si>
  <si>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</si>
  <si>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</si>
  <si>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</si>
  <si>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</si>
  <si>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</si>
  <si>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</si>
  <si>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</si>
  <si>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</si>
  <si>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</si>
  <si>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</si>
  <si>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</si>
  <si>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</si>
  <si>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</si>
  <si>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</si>
  <si>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</si>
  <si>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</si>
  <si>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</si>
  <si>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</si>
  <si>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</si>
  <si>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</si>
  <si>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</si>
  <si>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</si>
  <si>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</si>
  <si>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</si>
  <si>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</si>
  <si>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</si>
  <si>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</si>
  <si>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</si>
  <si>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</si>
  <si>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</si>
  <si>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</si>
  <si>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</si>
  <si>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</si>
  <si>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</si>
  <si>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</si>
  <si>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</si>
  <si>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</si>
  <si>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</si>
  <si>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</si>
  <si>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</si>
  <si>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</si>
  <si>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</si>
  <si>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</si>
  <si>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</si>
  <si>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</si>
  <si>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</si>
  <si>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</si>
  <si>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</si>
  <si>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</si>
  <si>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</si>
  <si>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</si>
  <si>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</si>
  <si>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</si>
  <si>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</si>
  <si>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</si>
  <si>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</si>
  <si>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</si>
  <si>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</si>
  <si>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</si>
  <si>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</si>
  <si>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</si>
  <si>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</si>
  <si>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</si>
  <si>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</si>
  <si>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</si>
  <si>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</si>
  <si>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</si>
  <si>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</si>
  <si>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</si>
  <si>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</si>
  <si>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</si>
  <si>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</si>
  <si>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</si>
  <si>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</si>
  <si>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</si>
  <si>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</si>
  <si>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</si>
  <si>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</si>
  <si>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</si>
  <si>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</si>
  <si>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</si>
  <si>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</si>
  <si>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</si>
  <si>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</si>
  <si>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</si>
  <si>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</si>
  <si>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</si>
  <si>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</si>
  <si>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</si>
  <si>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</si>
  <si>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</si>
  <si>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</si>
  <si>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</si>
  <si>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</si>
  <si>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</si>
  <si>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</si>
  <si>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</si>
  <si>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</si>
  <si>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</si>
  <si>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</si>
  <si>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</si>
  <si>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</si>
  <si>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</si>
  <si>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</si>
  <si>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</si>
  <si>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</si>
  <si>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</si>
  <si>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</si>
  <si>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</si>
  <si>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</si>
  <si>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</si>
  <si>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</si>
  <si>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</si>
  <si>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</si>
  <si>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</si>
  <si>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</si>
  <si>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</si>
  <si>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</si>
  <si>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</si>
  <si>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</si>
  <si>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</si>
  <si>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</si>
  <si>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</si>
  <si>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</si>
  <si>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</si>
  <si>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</si>
  <si>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</si>
  <si>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</si>
  <si>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</si>
  <si>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</si>
  <si>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</si>
  <si>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</si>
  <si>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</si>
  <si>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</si>
  <si>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</si>
  <si>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</si>
  <si>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</si>
  <si>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</si>
  <si>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</si>
  <si>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</si>
  <si>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</si>
  <si>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</si>
  <si>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</si>
  <si>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</si>
  <si>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</si>
  <si>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</si>
  <si>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</si>
  <si>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</si>
  <si>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</si>
  <si>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</si>
  <si>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</si>
  <si>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</si>
  <si>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</si>
  <si>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</si>
  <si>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</si>
  <si>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</si>
  <si>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</si>
  <si>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</si>
  <si>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</si>
  <si>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</si>
  <si>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</si>
  <si>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</si>
  <si>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</si>
  <si>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</si>
  <si>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</si>
  <si>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</si>
  <si>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</si>
  <si>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</si>
  <si>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</si>
  <si>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</si>
  <si>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</si>
  <si>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</si>
  <si>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</si>
  <si>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</si>
  <si>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</si>
  <si>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</si>
  <si>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</si>
  <si>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</si>
  <si>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</si>
  <si>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</si>
  <si>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</si>
  <si>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</si>
  <si>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</si>
  <si>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</si>
  <si>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</si>
  <si>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</si>
  <si>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</si>
  <si>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</si>
  <si>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</si>
  <si>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</si>
  <si>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</si>
  <si>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</si>
  <si>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</si>
  <si>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</si>
  <si>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</si>
  <si>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</si>
  <si>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</si>
  <si>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</si>
  <si>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</si>
  <si>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</si>
  <si>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</si>
  <si>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</si>
  <si>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</si>
  <si>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</si>
  <si>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</si>
  <si>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</si>
  <si>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</si>
  <si>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</si>
  <si>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</si>
  <si>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</si>
  <si>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</si>
  <si>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</si>
  <si>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</si>
  <si>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</si>
  <si>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</si>
  <si>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</si>
  <si>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</si>
  <si>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</si>
  <si>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</si>
  <si>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</si>
  <si>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</si>
  <si>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</si>
  <si>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</si>
  <si>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</si>
  <si>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</si>
  <si>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</si>
  <si>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</si>
  <si>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</si>
  <si>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</si>
  <si>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</si>
  <si>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</si>
  <si>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</si>
  <si>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</si>
  <si>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</si>
  <si>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</si>
  <si>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</si>
  <si>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</si>
  <si>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</si>
  <si>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</si>
  <si>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</si>
  <si>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</si>
  <si>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</si>
  <si>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</si>
  <si>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</si>
  <si>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</si>
  <si>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</si>
  <si>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</si>
  <si>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</si>
  <si>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</si>
  <si>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</si>
  <si>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</si>
  <si>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</si>
  <si>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</si>
  <si>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</si>
  <si>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</si>
  <si>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</si>
  <si>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</si>
  <si>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</si>
  <si>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</si>
  <si>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</si>
  <si>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</si>
  <si>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</si>
  <si>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</si>
  <si>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</si>
  <si>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</si>
  <si>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</si>
  <si>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</si>
  <si>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</si>
  <si>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</si>
  <si>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</si>
  <si>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</si>
  <si>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</si>
  <si>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</si>
  <si>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</si>
  <si>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</si>
  <si>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</si>
  <si>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</si>
  <si>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</si>
  <si>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</si>
  <si>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</si>
  <si>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</si>
  <si>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</si>
  <si>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</si>
  <si>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</si>
  <si>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</si>
  <si>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</si>
  <si>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</si>
  <si>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</si>
  <si>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</si>
  <si>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</si>
  <si>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</si>
  <si>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</si>
  <si>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</si>
  <si>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</si>
  <si>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</si>
  <si>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</si>
  <si>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</si>
  <si>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</si>
  <si>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</si>
  <si>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</si>
  <si>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</si>
  <si>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</si>
  <si>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</si>
  <si>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</si>
  <si>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</si>
  <si>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</si>
  <si>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</si>
  <si>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</si>
  <si>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</si>
  <si>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</si>
  <si>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</si>
  <si>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</si>
  <si>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</si>
  <si>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</si>
  <si>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</si>
  <si>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</si>
  <si>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</si>
  <si>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</si>
  <si>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</si>
  <si>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</si>
  <si>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</si>
  <si>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</si>
  <si>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</si>
  <si>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</si>
  <si>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</si>
  <si>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</si>
  <si>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</si>
  <si>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</si>
  <si>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</si>
  <si>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</si>
  <si>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</si>
  <si>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</si>
  <si>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</si>
  <si>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</si>
  <si>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</si>
  <si>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</si>
  <si>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</si>
  <si>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</si>
  <si>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</si>
  <si>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</si>
  <si>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</si>
  <si>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</si>
  <si>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</si>
  <si>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</si>
  <si>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</si>
  <si>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</si>
  <si>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</si>
  <si>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</si>
  <si>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</si>
  <si>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</si>
  <si>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</si>
  <si>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</si>
  <si>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</si>
  <si>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</si>
  <si>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</si>
  <si>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</si>
  <si>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</si>
  <si>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</si>
  <si>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</si>
  <si>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</si>
  <si>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</si>
  <si>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</si>
  <si>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</si>
  <si>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</si>
  <si>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</si>
  <si>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</si>
  <si>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</si>
  <si>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</si>
  <si>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</si>
  <si>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</si>
  <si>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</si>
  <si>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</si>
  <si>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</si>
  <si>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</si>
  <si>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</si>
  <si>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</si>
  <si>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</si>
  <si>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</si>
  <si>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</si>
  <si>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</si>
  <si>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</si>
  <si>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</si>
  <si>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</si>
  <si>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</si>
  <si>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</si>
  <si>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</si>
  <si>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</si>
  <si>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</si>
  <si>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</si>
  <si>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</si>
  <si>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</si>
  <si>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</si>
  <si>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</si>
  <si>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</si>
  <si>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</si>
  <si>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</si>
  <si>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</si>
  <si>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</si>
  <si>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</si>
  <si>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</si>
  <si>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</si>
  <si>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</si>
  <si>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</si>
  <si>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</si>
  <si>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</si>
  <si>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</si>
  <si>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</si>
  <si>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</si>
  <si>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</si>
  <si>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</si>
  <si>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</si>
  <si>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</si>
  <si>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</si>
  <si>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</si>
  <si>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</si>
  <si>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</si>
  <si>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</si>
  <si>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</si>
  <si>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</si>
  <si>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</si>
  <si>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</si>
  <si>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</si>
  <si>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</si>
  <si>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</si>
  <si>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</si>
  <si>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</si>
  <si>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</si>
  <si>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</si>
  <si>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</si>
  <si>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</si>
  <si>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</si>
  <si>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</si>
  <si>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</si>
  <si>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</si>
  <si>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</si>
  <si>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</si>
  <si>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</si>
  <si>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</si>
  <si>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</si>
  <si>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</si>
  <si>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</si>
  <si>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</si>
  <si>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</si>
  <si>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</si>
  <si>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</si>
  <si>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</si>
  <si>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</si>
  <si>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</si>
  <si>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</si>
  <si>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</si>
  <si>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</si>
  <si>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</si>
  <si>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</si>
  <si>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</si>
  <si>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</si>
  <si>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</si>
  <si>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</si>
  <si>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</si>
  <si>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</si>
  <si>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</si>
  <si>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</si>
  <si>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</si>
  <si>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</si>
  <si>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</si>
  <si>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</si>
  <si>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</si>
  <si>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</si>
  <si>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</si>
  <si>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</si>
  <si>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</si>
  <si>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</si>
  <si>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</si>
  <si>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</si>
  <si>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</si>
  <si>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</si>
  <si>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</si>
  <si>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</si>
  <si>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</si>
  <si>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</si>
  <si>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</si>
  <si>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</si>
  <si>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</si>
  <si>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</si>
  <si>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</si>
  <si>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</si>
  <si>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</si>
  <si>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</si>
  <si>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</si>
  <si>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</si>
  <si>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</si>
  <si>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</si>
  <si>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</si>
  <si>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</si>
  <si>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</si>
  <si>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</si>
  <si>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</si>
  <si>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</si>
  <si>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</si>
  <si>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</si>
  <si>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</si>
  <si>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</si>
  <si>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</si>
  <si>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</si>
  <si>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</si>
  <si>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</si>
  <si>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</si>
  <si>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</si>
  <si>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</si>
  <si>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</si>
  <si>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</si>
  <si>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</si>
  <si>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</si>
  <si>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</si>
  <si>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</si>
  <si>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</si>
  <si>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</si>
  <si>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Tower Semiconductor LTD.</t>
  </si>
  <si>
    <t>520041997</t>
  </si>
  <si>
    <t>POB 619 Migdal Haemek Israel 23105</t>
  </si>
  <si>
    <t>Moti Amsalem</t>
  </si>
  <si>
    <t>cammmh@Towersemi.com</t>
  </si>
  <si>
    <t>972-4-6506259</t>
  </si>
  <si>
    <t>Material Quality Engineer, Staff</t>
  </si>
  <si>
    <t>From WF6 gas and Target</t>
  </si>
  <si>
    <t>NO. 300,KEJING SHE, HAICANG</t>
  </si>
  <si>
    <t>1 HAWES STREET</t>
  </si>
  <si>
    <t>Liu (Eric) Renfeng</t>
  </si>
  <si>
    <t>liu.rengfeng@cxtc.com</t>
  </si>
  <si>
    <t>Karin Laursen</t>
  </si>
  <si>
    <t>karin.laursen@globaltungsten.com</t>
  </si>
  <si>
    <t>dept1@cniecjx.com</t>
    <phoneticPr fontId="28"/>
  </si>
  <si>
    <t xml:space="preserve"> ON CFS Compliant List</t>
  </si>
  <si>
    <t>akawaguc@jnm.co.jp</t>
    <phoneticPr fontId="28"/>
  </si>
  <si>
    <t>Confidential</t>
  </si>
  <si>
    <t>Jiangxi Dajichan Tungsten Industry Ltd</t>
    <phoneticPr fontId="28"/>
  </si>
  <si>
    <t>China</t>
    <phoneticPr fontId="28"/>
  </si>
  <si>
    <t>Listed on RMAP Conformant Tungsten Smelter List</t>
  </si>
  <si>
    <t>Fab 1,2,3,9, &amp; TPSCo</t>
  </si>
  <si>
    <t>https://towersemi.com/about/corporate-social-responsibility-esg/social-supply-chain/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</si>
</sst>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Font="1" applyBorder="1" applyAlignment="1" applyProtection="1">
      <alignment wrapText="1"/>
      <protection locked="0"/>
    </xf>
    <xf numFmtId="0" fontId="0" fillId="0" borderId="19" xfId="0" applyBorder="1" applyProtection="1">
      <protection locked="0"/>
    </xf>
    <xf numFmtId="0" fontId="0" fillId="0" borderId="57" xfId="0" applyFont="1" applyBorder="1" applyAlignment="1" applyProtection="1">
      <alignment wrapText="1"/>
      <protection locked="0"/>
    </xf>
    <xf numFmtId="0" fontId="0" fillId="0" borderId="0" xfId="0" applyAlignment="1" applyProtection="1">
      <alignment vertical="top"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5"/>
      <c r="B2" s="38" t="s">
        <v>870</v>
      </c>
      <c r="C2" s="36"/>
      <c r="D2" s="208"/>
      <c r="E2" s="3"/>
      <c r="F2" s="36"/>
      <c r="G2" s="34"/>
    </row>
    <row r="3" spans="1:7">
      <c r="A3" s="355"/>
      <c r="B3" s="5" t="s">
        <v>862</v>
      </c>
      <c r="C3" s="6"/>
      <c r="D3" s="209"/>
      <c r="E3" s="3"/>
      <c r="F3" s="6"/>
      <c r="G3" s="34"/>
    </row>
    <row r="4" spans="1:7" ht="15.75">
      <c r="A4" s="355"/>
      <c r="B4" s="41" t="s">
        <v>872</v>
      </c>
      <c r="C4" s="7"/>
      <c r="D4" s="210"/>
      <c r="E4" s="3"/>
      <c r="F4" s="7"/>
      <c r="G4" s="34"/>
    </row>
    <row r="5" spans="1:7">
      <c r="A5" s="355"/>
      <c r="B5" s="40" t="s">
        <v>1063</v>
      </c>
      <c r="C5" s="4"/>
      <c r="D5" s="211"/>
      <c r="E5" s="3"/>
      <c r="F5" s="4"/>
      <c r="G5" s="34"/>
    </row>
    <row r="6" spans="1:7">
      <c r="A6" s="355"/>
      <c r="B6" s="8"/>
      <c r="C6" s="8"/>
      <c r="D6" s="212"/>
      <c r="E6" s="8"/>
      <c r="F6" s="8"/>
      <c r="G6" s="34"/>
    </row>
    <row r="7" spans="1:7">
      <c r="A7" s="355"/>
      <c r="B7" s="8"/>
      <c r="C7" s="8"/>
      <c r="D7" s="212"/>
      <c r="E7" s="8"/>
      <c r="F7" s="8"/>
      <c r="G7" s="34"/>
    </row>
    <row r="8" spans="1:7">
      <c r="A8" s="355"/>
      <c r="B8" s="8"/>
      <c r="C8" s="8"/>
      <c r="D8" s="212"/>
      <c r="E8" s="8"/>
      <c r="F8" s="8"/>
      <c r="G8" s="34"/>
    </row>
    <row r="9" spans="1:7">
      <c r="A9" s="355"/>
      <c r="B9" s="358" t="s">
        <v>873</v>
      </c>
      <c r="C9" s="358"/>
      <c r="D9" s="358"/>
      <c r="E9" s="358"/>
      <c r="F9" s="358"/>
      <c r="G9" s="34"/>
    </row>
    <row r="10" spans="1:7" ht="27" customHeight="1">
      <c r="A10" s="355"/>
      <c r="B10" s="359" t="s">
        <v>448</v>
      </c>
      <c r="C10" s="359"/>
      <c r="D10" s="359"/>
      <c r="E10" s="359"/>
      <c r="F10" s="359"/>
      <c r="G10" s="34"/>
    </row>
    <row r="11" spans="1:7" ht="27" customHeight="1">
      <c r="A11" s="355"/>
      <c r="B11" s="360"/>
      <c r="C11" s="360"/>
      <c r="D11" s="360"/>
      <c r="E11" s="360"/>
      <c r="F11" s="360"/>
      <c r="G11" s="34"/>
    </row>
    <row r="12" spans="1:7">
      <c r="A12" s="355"/>
      <c r="B12" s="42" t="s">
        <v>871</v>
      </c>
      <c r="C12" s="43" t="s">
        <v>874</v>
      </c>
      <c r="D12" s="213" t="s">
        <v>875</v>
      </c>
      <c r="E12" s="43" t="s">
        <v>628</v>
      </c>
      <c r="F12" s="43" t="s">
        <v>629</v>
      </c>
      <c r="G12" s="34"/>
    </row>
    <row r="13" spans="1:7" ht="33.75">
      <c r="A13" s="355"/>
      <c r="B13" s="2">
        <v>1</v>
      </c>
      <c r="C13" s="37" t="s">
        <v>1111</v>
      </c>
      <c r="D13" s="39" t="s">
        <v>899</v>
      </c>
      <c r="E13" s="196" t="s">
        <v>876</v>
      </c>
      <c r="F13" s="196"/>
      <c r="G13" s="34"/>
    </row>
    <row r="14" spans="1:7" ht="33.75">
      <c r="A14" s="355"/>
      <c r="B14" s="2">
        <v>2</v>
      </c>
      <c r="C14" s="37" t="s">
        <v>1111</v>
      </c>
      <c r="D14" s="39" t="s">
        <v>1048</v>
      </c>
      <c r="E14" s="196" t="s">
        <v>540</v>
      </c>
      <c r="F14" s="196" t="s">
        <v>541</v>
      </c>
      <c r="G14" s="34"/>
    </row>
    <row r="15" spans="1:7" ht="89.1" customHeight="1">
      <c r="A15" s="355"/>
      <c r="B15" s="361">
        <v>2.0099999999999998</v>
      </c>
      <c r="C15" s="352" t="s">
        <v>1111</v>
      </c>
      <c r="D15" s="364" t="s">
        <v>2358</v>
      </c>
      <c r="E15" s="197" t="s">
        <v>630</v>
      </c>
      <c r="F15" s="197" t="s">
        <v>633</v>
      </c>
      <c r="G15" s="34"/>
    </row>
    <row r="16" spans="1:7" ht="99" customHeight="1">
      <c r="A16" s="355"/>
      <c r="B16" s="362"/>
      <c r="C16" s="353"/>
      <c r="D16" s="365"/>
      <c r="E16" s="198"/>
      <c r="F16" s="198" t="s">
        <v>631</v>
      </c>
      <c r="G16" s="34"/>
    </row>
    <row r="17" spans="1:7" ht="63" customHeight="1">
      <c r="A17" s="355"/>
      <c r="B17" s="363"/>
      <c r="C17" s="354"/>
      <c r="D17" s="366"/>
      <c r="E17" s="37"/>
      <c r="F17" s="37" t="s">
        <v>632</v>
      </c>
      <c r="G17" s="34"/>
    </row>
    <row r="18" spans="1:7" ht="117" customHeight="1">
      <c r="A18" s="355"/>
      <c r="B18" s="361">
        <v>2.02</v>
      </c>
      <c r="C18" s="352" t="s">
        <v>1111</v>
      </c>
      <c r="D18" s="364" t="s">
        <v>2359</v>
      </c>
      <c r="E18" s="197" t="s">
        <v>449</v>
      </c>
      <c r="F18" s="197" t="s">
        <v>535</v>
      </c>
      <c r="G18" s="34"/>
    </row>
    <row r="19" spans="1:7" ht="71.099999999999994" customHeight="1">
      <c r="A19" s="355"/>
      <c r="B19" s="362"/>
      <c r="C19" s="353"/>
      <c r="D19" s="365"/>
      <c r="E19" s="198" t="s">
        <v>539</v>
      </c>
      <c r="F19" s="198" t="s">
        <v>450</v>
      </c>
      <c r="G19" s="34"/>
    </row>
    <row r="20" spans="1:7" ht="90.75" customHeight="1">
      <c r="A20" s="355"/>
      <c r="B20" s="362"/>
      <c r="C20" s="353"/>
      <c r="D20" s="365"/>
      <c r="E20" s="198"/>
      <c r="F20" s="198" t="s">
        <v>635</v>
      </c>
      <c r="G20" s="34"/>
    </row>
    <row r="21" spans="1:7" ht="74.25" customHeight="1">
      <c r="A21" s="355"/>
      <c r="B21" s="363"/>
      <c r="C21" s="354"/>
      <c r="D21" s="366"/>
      <c r="E21" s="37"/>
      <c r="F21" s="37" t="s">
        <v>634</v>
      </c>
      <c r="G21" s="34"/>
    </row>
    <row r="22" spans="1:7" ht="90" customHeight="1">
      <c r="A22" s="355"/>
      <c r="B22" s="370">
        <v>2.0299999999999998</v>
      </c>
      <c r="C22" s="370" t="s">
        <v>845</v>
      </c>
      <c r="D22" s="373" t="s">
        <v>2360</v>
      </c>
      <c r="E22" s="352" t="s">
        <v>447</v>
      </c>
      <c r="F22" s="197" t="s">
        <v>470</v>
      </c>
      <c r="G22" s="34"/>
    </row>
    <row r="23" spans="1:7" ht="109.5" customHeight="1">
      <c r="A23" s="355"/>
      <c r="B23" s="371"/>
      <c r="C23" s="371"/>
      <c r="D23" s="374"/>
      <c r="E23" s="353"/>
      <c r="F23" s="198" t="s">
        <v>846</v>
      </c>
      <c r="G23" s="34"/>
    </row>
    <row r="24" spans="1:7" ht="74.25" customHeight="1">
      <c r="A24" s="355"/>
      <c r="B24" s="372"/>
      <c r="C24" s="372"/>
      <c r="D24" s="375"/>
      <c r="E24" s="354"/>
      <c r="F24" s="37" t="s">
        <v>446</v>
      </c>
      <c r="G24" s="34"/>
    </row>
    <row r="25" spans="1:7" ht="72" customHeight="1">
      <c r="A25" s="355"/>
      <c r="B25" s="2" t="s">
        <v>468</v>
      </c>
      <c r="C25" s="37" t="s">
        <v>469</v>
      </c>
      <c r="D25" s="39" t="s">
        <v>2361</v>
      </c>
      <c r="E25" s="37" t="s">
        <v>2356</v>
      </c>
      <c r="F25" s="37" t="s">
        <v>471</v>
      </c>
      <c r="G25" s="34"/>
    </row>
    <row r="26" spans="1:7" ht="98.1" customHeight="1">
      <c r="A26" s="355"/>
      <c r="B26" s="367">
        <v>3</v>
      </c>
      <c r="C26" s="361" t="s">
        <v>72</v>
      </c>
      <c r="D26" s="364" t="s">
        <v>2362</v>
      </c>
      <c r="E26" s="352" t="s">
        <v>0</v>
      </c>
      <c r="F26" s="197" t="s">
        <v>66</v>
      </c>
      <c r="G26" s="34"/>
    </row>
    <row r="27" spans="1:7" ht="90" customHeight="1">
      <c r="A27" s="355"/>
      <c r="B27" s="368"/>
      <c r="C27" s="362"/>
      <c r="D27" s="365"/>
      <c r="E27" s="353"/>
      <c r="F27" s="198" t="s">
        <v>61</v>
      </c>
      <c r="G27" s="34"/>
    </row>
    <row r="28" spans="1:7" ht="19.350000000000001" customHeight="1">
      <c r="A28" s="355"/>
      <c r="B28" s="368"/>
      <c r="C28" s="362"/>
      <c r="D28" s="365"/>
      <c r="E28" s="353"/>
      <c r="F28" s="198" t="s">
        <v>62</v>
      </c>
      <c r="G28" s="34"/>
    </row>
    <row r="29" spans="1:7" ht="74.45" customHeight="1">
      <c r="A29" s="355"/>
      <c r="B29" s="368"/>
      <c r="C29" s="362"/>
      <c r="D29" s="365"/>
      <c r="E29" s="353"/>
      <c r="F29" s="198" t="s">
        <v>63</v>
      </c>
      <c r="G29" s="34"/>
    </row>
    <row r="30" spans="1:7" ht="62.45" customHeight="1">
      <c r="A30" s="355"/>
      <c r="B30" s="368"/>
      <c r="C30" s="362"/>
      <c r="D30" s="365"/>
      <c r="E30" s="353"/>
      <c r="F30" s="198" t="s">
        <v>64</v>
      </c>
      <c r="G30" s="34"/>
    </row>
    <row r="31" spans="1:7" ht="81" customHeight="1">
      <c r="A31" s="355"/>
      <c r="B31" s="368"/>
      <c r="C31" s="362"/>
      <c r="D31" s="365"/>
      <c r="E31" s="353"/>
      <c r="F31" s="198" t="s">
        <v>65</v>
      </c>
      <c r="G31" s="34"/>
    </row>
    <row r="32" spans="1:7" ht="48.75" customHeight="1">
      <c r="A32" s="355"/>
      <c r="B32" s="368"/>
      <c r="C32" s="362"/>
      <c r="D32" s="365"/>
      <c r="E32" s="353"/>
      <c r="F32" s="198" t="s">
        <v>68</v>
      </c>
      <c r="G32" s="34"/>
    </row>
    <row r="33" spans="1:7" ht="98.45" customHeight="1">
      <c r="A33" s="355"/>
      <c r="B33" s="368"/>
      <c r="C33" s="362"/>
      <c r="D33" s="365"/>
      <c r="E33" s="353"/>
      <c r="F33" s="198" t="s">
        <v>67</v>
      </c>
      <c r="G33" s="34"/>
    </row>
    <row r="34" spans="1:7" ht="89.1" customHeight="1">
      <c r="A34" s="355"/>
      <c r="B34" s="368"/>
      <c r="C34" s="362"/>
      <c r="D34" s="365"/>
      <c r="E34" s="353"/>
      <c r="F34" s="198" t="s">
        <v>69</v>
      </c>
      <c r="G34" s="34"/>
    </row>
    <row r="35" spans="1:7" ht="29.1" customHeight="1">
      <c r="A35" s="355"/>
      <c r="B35" s="368"/>
      <c r="C35" s="362"/>
      <c r="D35" s="365"/>
      <c r="E35" s="353"/>
      <c r="F35" s="198" t="s">
        <v>70</v>
      </c>
      <c r="G35" s="34"/>
    </row>
    <row r="36" spans="1:7" ht="126.75">
      <c r="A36" s="355"/>
      <c r="B36" s="369"/>
      <c r="C36" s="363"/>
      <c r="D36" s="366"/>
      <c r="E36" s="354"/>
      <c r="F36" s="199" t="s">
        <v>71</v>
      </c>
      <c r="G36" s="34"/>
    </row>
    <row r="37" spans="1:7" ht="112.5">
      <c r="A37" s="355"/>
      <c r="B37" s="171">
        <v>3.01</v>
      </c>
      <c r="C37" s="172" t="s">
        <v>72</v>
      </c>
      <c r="D37" s="39" t="s">
        <v>2363</v>
      </c>
      <c r="E37" s="200" t="s">
        <v>1351</v>
      </c>
      <c r="F37" s="201" t="s">
        <v>1457</v>
      </c>
      <c r="G37" s="34"/>
    </row>
    <row r="38" spans="1:7" ht="101.25">
      <c r="A38" s="355"/>
      <c r="B38" s="171">
        <v>3.02</v>
      </c>
      <c r="C38" s="172" t="s">
        <v>1384</v>
      </c>
      <c r="D38" s="39" t="s">
        <v>2364</v>
      </c>
      <c r="E38" s="200" t="s">
        <v>1399</v>
      </c>
      <c r="F38" s="201" t="s">
        <v>1458</v>
      </c>
      <c r="G38" s="34"/>
    </row>
    <row r="39" spans="1:7" ht="101.25">
      <c r="A39" s="355"/>
      <c r="B39" s="182">
        <v>4</v>
      </c>
      <c r="C39" s="181" t="s">
        <v>1554</v>
      </c>
      <c r="D39" s="39" t="s">
        <v>2365</v>
      </c>
      <c r="E39" s="37" t="s">
        <v>2307</v>
      </c>
      <c r="F39" s="37" t="s">
        <v>1555</v>
      </c>
      <c r="G39" s="34"/>
    </row>
    <row r="40" spans="1:7" ht="56.25">
      <c r="A40" s="355"/>
      <c r="B40" s="171">
        <v>4.01</v>
      </c>
      <c r="C40" s="181" t="s">
        <v>1554</v>
      </c>
      <c r="D40" s="39" t="s">
        <v>2367</v>
      </c>
      <c r="E40" s="37" t="s">
        <v>2321</v>
      </c>
      <c r="F40" s="37" t="s">
        <v>2326</v>
      </c>
      <c r="G40" s="34"/>
    </row>
    <row r="41" spans="1:7" ht="56.25">
      <c r="A41" s="355"/>
      <c r="B41" s="171" t="s">
        <v>2354</v>
      </c>
      <c r="C41" s="181" t="s">
        <v>1554</v>
      </c>
      <c r="D41" s="39" t="s">
        <v>2366</v>
      </c>
      <c r="E41" s="37" t="s">
        <v>2357</v>
      </c>
      <c r="F41" s="37" t="s">
        <v>2355</v>
      </c>
      <c r="G41" s="34"/>
    </row>
    <row r="42" spans="1:7" ht="56.25">
      <c r="A42" s="355"/>
      <c r="B42" s="171" t="s">
        <v>2399</v>
      </c>
      <c r="C42" s="181" t="s">
        <v>1554</v>
      </c>
      <c r="D42" s="39" t="s">
        <v>2406</v>
      </c>
      <c r="E42" s="37" t="s">
        <v>2356</v>
      </c>
      <c r="F42" s="37" t="s">
        <v>2400</v>
      </c>
      <c r="G42" s="34"/>
    </row>
    <row r="43" spans="1:7" ht="123.75">
      <c r="A43" s="355"/>
      <c r="B43" s="193">
        <v>4.0999999999999996</v>
      </c>
      <c r="C43" s="181" t="s">
        <v>2405</v>
      </c>
      <c r="D43" s="194">
        <v>42867</v>
      </c>
      <c r="E43" s="202" t="s">
        <v>2408</v>
      </c>
      <c r="F43" s="37" t="s">
        <v>2407</v>
      </c>
      <c r="G43" s="34"/>
    </row>
    <row r="44" spans="1:7" ht="78.75">
      <c r="A44" s="355"/>
      <c r="B44" s="193">
        <v>4.2</v>
      </c>
      <c r="C44" s="181" t="s">
        <v>2405</v>
      </c>
      <c r="D44" s="194">
        <v>42704</v>
      </c>
      <c r="E44" s="202" t="s">
        <v>2625</v>
      </c>
      <c r="F44" s="37" t="s">
        <v>2598</v>
      </c>
      <c r="G44" s="34"/>
    </row>
    <row r="45" spans="1:7" ht="157.5">
      <c r="A45" s="355"/>
      <c r="B45" s="243">
        <v>5</v>
      </c>
      <c r="C45" s="181" t="s">
        <v>2405</v>
      </c>
      <c r="D45" s="194">
        <v>42867</v>
      </c>
      <c r="E45" s="202" t="s">
        <v>13032</v>
      </c>
      <c r="F45" s="37" t="s">
        <v>12754</v>
      </c>
      <c r="G45" s="34"/>
    </row>
    <row r="46" spans="1:7" ht="45">
      <c r="A46" s="355"/>
      <c r="B46" s="193">
        <v>5.01</v>
      </c>
      <c r="C46" s="181" t="s">
        <v>2405</v>
      </c>
      <c r="D46" s="194">
        <v>42907</v>
      </c>
      <c r="E46" s="202" t="s">
        <v>13052</v>
      </c>
      <c r="F46" s="37" t="s">
        <v>12754</v>
      </c>
      <c r="G46" s="34"/>
    </row>
    <row r="47" spans="1:7" ht="67.5">
      <c r="A47" s="355"/>
      <c r="B47" s="193">
        <v>5.0999999999999996</v>
      </c>
      <c r="C47" s="181" t="s">
        <v>2405</v>
      </c>
      <c r="D47" s="194">
        <v>43070</v>
      </c>
      <c r="E47" s="202" t="s">
        <v>13247</v>
      </c>
      <c r="F47" s="37" t="s">
        <v>13248</v>
      </c>
      <c r="G47" s="34"/>
    </row>
    <row r="48" spans="1:7" ht="56.25">
      <c r="A48" s="355"/>
      <c r="B48" s="193">
        <v>5.1100000000000003</v>
      </c>
      <c r="C48" s="181" t="s">
        <v>13489</v>
      </c>
      <c r="D48" s="194">
        <v>43217</v>
      </c>
      <c r="E48" s="202" t="s">
        <v>13617</v>
      </c>
      <c r="F48" s="37" t="s">
        <v>13523</v>
      </c>
      <c r="G48" s="34"/>
    </row>
    <row r="49" spans="1:7" ht="56.25">
      <c r="A49" s="355"/>
      <c r="B49" s="193">
        <v>5.12</v>
      </c>
      <c r="C49" s="181" t="s">
        <v>13489</v>
      </c>
      <c r="D49" s="194">
        <v>43581</v>
      </c>
      <c r="E49" s="202" t="s">
        <v>13617</v>
      </c>
      <c r="F49" s="37" t="s">
        <v>14191</v>
      </c>
      <c r="G49" s="34"/>
    </row>
    <row r="50" spans="1:7" ht="78.75">
      <c r="A50" s="355"/>
      <c r="B50" s="243">
        <v>6</v>
      </c>
      <c r="C50" s="181" t="s">
        <v>13489</v>
      </c>
      <c r="D50" s="194">
        <v>43964</v>
      </c>
      <c r="E50" s="202" t="s">
        <v>14434</v>
      </c>
      <c r="F50" s="37" t="s">
        <v>14205</v>
      </c>
      <c r="G50" s="34"/>
    </row>
    <row r="51" spans="1:7" ht="45">
      <c r="A51" s="355"/>
      <c r="B51" s="193">
        <v>6.01</v>
      </c>
      <c r="C51" s="181" t="s">
        <v>13489</v>
      </c>
      <c r="D51" s="194">
        <v>43970</v>
      </c>
      <c r="E51" s="202" t="s">
        <v>15504</v>
      </c>
      <c r="F51" s="202" t="s">
        <v>14205</v>
      </c>
      <c r="G51" s="34"/>
    </row>
    <row r="52" spans="1:7" ht="13.5" thickBot="1">
      <c r="A52" s="356"/>
      <c r="B52" s="357" t="str">
        <f ca="1">OFFSET(L!$C$1,MATCH("General"&amp;"Cpy",L!$A:$A,0)-1,SL,,)</f>
        <v>© 2020 Responsible Minerals Initiative. All rights reserved.</v>
      </c>
      <c r="C52" s="357"/>
      <c r="D52" s="357"/>
      <c r="E52" s="357"/>
      <c r="F52" s="357"/>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6"/>
      <c r="B1" s="377"/>
      <c r="C1" s="377"/>
      <c r="D1" s="378"/>
    </row>
    <row r="2" spans="1:5" ht="71.25" customHeight="1">
      <c r="A2" s="87"/>
      <c r="B2" s="167" t="str">
        <f ca="1">OFFSET(L!$C$1,MATCH("Definitions"&amp;ADDRESS(ROW(),COLUMN(),4),L!$A:$A,0)-1,SL,,)</f>
        <v>ITEM</v>
      </c>
      <c r="C2" s="167" t="str">
        <f ca="1">OFFSET(L!$C$1,MATCH("Definitions"&amp;ADDRESS(ROW(),COLUMN(),4),L!$A:$A,0)-1,SL,,)</f>
        <v>DEFINITION</v>
      </c>
      <c r="D2" s="380"/>
      <c r="E2" s="127"/>
    </row>
    <row r="3" spans="1:5" ht="63.95" customHeight="1">
      <c r="A3" s="87"/>
      <c r="B3" s="74" t="str">
        <f ca="1">OFFSET(L!$C$1,MATCH("Definitions"&amp;ADDRESS(ROW(),COLUMN(),4),L!$A:$A,0)-1,SL,,)</f>
        <v>3TG</v>
      </c>
      <c r="C3" s="74" t="str">
        <f ca="1">OFFSET(L!$C$1,MATCH("Definitions"&amp;ADDRESS(ROW(),COLUMN(),4),L!$A:$A,0)-1,SL,,)</f>
        <v>Tantalum, tin, tungsten, gold</v>
      </c>
      <c r="D3" s="380"/>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0"/>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0"/>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0"/>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0"/>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0"/>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0"/>
      <c r="E9" s="128" t="s">
        <v>1336</v>
      </c>
    </row>
    <row r="10" spans="1:5" ht="45">
      <c r="A10" s="87"/>
      <c r="B10" s="74" t="str">
        <f ca="1">OFFSET(L!$C$1,MATCH("Definitions"&amp;ADDRESS(ROW(),COLUMN(),4),L!$A:$A,0)-1,SL,,)</f>
        <v>DRC</v>
      </c>
      <c r="C10" s="74" t="str">
        <f ca="1">OFFSET(L!$C$1,MATCH("Definitions"&amp;ADDRESS(ROW(),COLUMN(),4),L!$A:$A,0)-1,SL,,)</f>
        <v>Democratic Republic of Congo</v>
      </c>
      <c r="D10" s="380"/>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0"/>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0"/>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0"/>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0"/>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0"/>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0"/>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0"/>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0"/>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0"/>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0"/>
      <c r="E20" s="128"/>
    </row>
    <row r="21" spans="1:5" ht="15">
      <c r="A21" s="87"/>
      <c r="B21" s="74" t="str">
        <f ca="1">OFFSET(L!$C$1,MATCH("Definitions"&amp;ADDRESS(ROW(),COLUMN(),4),L!$A:$A,0)-1,SL,,)</f>
        <v>RBA</v>
      </c>
      <c r="C21" s="74" t="str">
        <f ca="1">OFFSET(L!$C$1,MATCH("Definitions"&amp;ADDRESS(ROW(),COLUMN(),4),L!$A:$A,0)-1,SL,,)</f>
        <v>Responsible Business Alliance (www.responsiblebusiness.org)</v>
      </c>
      <c r="D21" s="380"/>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0"/>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0"/>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0"/>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0"/>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0"/>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0"/>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0"/>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0"/>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0"/>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0"/>
      <c r="E31" s="128"/>
    </row>
    <row r="32" spans="1:5" ht="15">
      <c r="A32" s="87"/>
      <c r="B32" s="379" t="str">
        <f ca="1">OFFSET(L!$C$1,MATCH("General"&amp;"Cpy",L!$A:$A,0)-1,SL,,)</f>
        <v>© 2020 Responsible Minerals Initiative. All rights reserved.</v>
      </c>
      <c r="C32" s="379"/>
      <c r="D32" s="380"/>
      <c r="E32" s="128"/>
    </row>
    <row r="33" spans="1:4" ht="13.5" thickBot="1">
      <c r="A33" s="88"/>
      <c r="B33" s="185"/>
      <c r="C33" s="185"/>
      <c r="D33" s="381"/>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4" zoomScale="70" zoomScaleNormal="70"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7" t="str">
        <f ca="1">OFFSET(L!$C$1,MATCH("Declaration"&amp;ADDRESS(ROW(),COLUMN(),4),L!$A:$A,0)-1,SL,,)</f>
        <v>Conflict Minerals Reporting Template (CMRT)</v>
      </c>
      <c r="E2" s="408"/>
      <c r="F2" s="408"/>
      <c r="G2" s="408"/>
      <c r="H2" s="408"/>
      <c r="I2" s="408"/>
      <c r="J2" s="40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7"/>
      <c r="G3" s="417"/>
      <c r="H3" s="417"/>
      <c r="I3" s="184"/>
      <c r="J3" s="168" t="s">
        <v>15506</v>
      </c>
      <c r="K3" s="47"/>
      <c r="L3" s="139"/>
      <c r="M3" s="130"/>
      <c r="N3" s="130"/>
      <c r="O3" s="131"/>
      <c r="P3" s="144">
        <f>MATCH($D$3,LN,0)</f>
        <v>1</v>
      </c>
    </row>
    <row r="4" spans="1:34" ht="15.75">
      <c r="A4" s="45"/>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2" t="str">
        <f ca="1">OFFSET(L!$C$1,MATCH("Declaration"&amp;ADDRESS(ROW(),COLUMN(),4),L!$A:$A,0)-1,SL,,)</f>
        <v>Company Information</v>
      </c>
      <c r="C7" s="422"/>
      <c r="D7" s="422"/>
      <c r="E7" s="422"/>
      <c r="F7" s="422"/>
      <c r="G7" s="422"/>
      <c r="H7" s="422"/>
      <c r="I7" s="422"/>
      <c r="J7" s="42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0" t="s">
        <v>15507</v>
      </c>
      <c r="E8" s="411"/>
      <c r="F8" s="411"/>
      <c r="G8" s="411"/>
      <c r="H8" s="411"/>
      <c r="I8" s="411"/>
      <c r="J8" s="41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9" t="s">
        <v>504</v>
      </c>
      <c r="E9" s="420"/>
      <c r="F9" s="420"/>
      <c r="G9" s="421"/>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3" t="str">
        <f ca="1">OFFSET(L!$C$1,MATCH("Declaration"&amp;ADDRESS(ROW(),COLUMN(),4)&amp;LEFT($D$9,1),L!$A:$A,0)-1,SL,,)</f>
        <v>Description of Scope:</v>
      </c>
      <c r="C10" s="151"/>
      <c r="D10" s="414"/>
      <c r="E10" s="415"/>
      <c r="F10" s="415"/>
      <c r="G10" s="415"/>
      <c r="H10" s="415"/>
      <c r="I10" s="415"/>
      <c r="J10" s="41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4"/>
      <c r="C11" s="151"/>
      <c r="D11" s="433" t="str">
        <f ca="1">IF(D9=Q9,OFFSET(L!$C$1,MATCH("Declaration"&amp;ADDRESS(ROW(),COLUMN(),4),L!$A:$A,0)-1,SL,,),"")</f>
        <v/>
      </c>
      <c r="E11" s="434"/>
      <c r="F11" s="434"/>
      <c r="G11" s="434"/>
      <c r="H11" s="434"/>
      <c r="I11" s="434"/>
      <c r="J11" s="43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6" t="s">
        <v>15508</v>
      </c>
      <c r="E12" s="397"/>
      <c r="F12" s="397"/>
      <c r="G12" s="397"/>
      <c r="H12" s="397"/>
      <c r="I12" s="397"/>
      <c r="J12" s="39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6" t="s">
        <v>15528</v>
      </c>
      <c r="E13" s="397"/>
      <c r="F13" s="397"/>
      <c r="G13" s="397"/>
      <c r="H13" s="397"/>
      <c r="I13" s="397"/>
      <c r="J13" s="39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6" t="s">
        <v>15509</v>
      </c>
      <c r="E14" s="397"/>
      <c r="F14" s="397"/>
      <c r="G14" s="397"/>
      <c r="H14" s="397"/>
      <c r="I14" s="397"/>
      <c r="J14" s="39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6" t="s">
        <v>15510</v>
      </c>
      <c r="E15" s="397"/>
      <c r="F15" s="397"/>
      <c r="G15" s="397"/>
      <c r="H15" s="397"/>
      <c r="I15" s="397"/>
      <c r="J15" s="39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5" t="s">
        <v>15511</v>
      </c>
      <c r="E16" s="426"/>
      <c r="F16" s="426"/>
      <c r="G16" s="426"/>
      <c r="H16" s="426"/>
      <c r="I16" s="426"/>
      <c r="J16" s="42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6" t="s">
        <v>15512</v>
      </c>
      <c r="E17" s="397"/>
      <c r="F17" s="397"/>
      <c r="G17" s="397"/>
      <c r="H17" s="397"/>
      <c r="I17" s="397"/>
      <c r="J17" s="39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6" t="s">
        <v>15510</v>
      </c>
      <c r="E18" s="397"/>
      <c r="F18" s="397"/>
      <c r="G18" s="397"/>
      <c r="H18" s="397"/>
      <c r="I18" s="397"/>
      <c r="J18" s="39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6" t="s">
        <v>15513</v>
      </c>
      <c r="E19" s="397"/>
      <c r="F19" s="397"/>
      <c r="G19" s="397"/>
      <c r="H19" s="397"/>
      <c r="I19" s="397"/>
      <c r="J19" s="39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5" t="s">
        <v>15511</v>
      </c>
      <c r="E20" s="426"/>
      <c r="F20" s="426"/>
      <c r="G20" s="426"/>
      <c r="H20" s="426"/>
      <c r="I20" s="426"/>
      <c r="J20" s="42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0" t="s">
        <v>15512</v>
      </c>
      <c r="E21" s="391"/>
      <c r="F21" s="391"/>
      <c r="G21" s="391"/>
      <c r="H21" s="391"/>
      <c r="I21" s="391"/>
      <c r="J21" s="39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3">
        <v>44292</v>
      </c>
      <c r="E22" s="394"/>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0"/>
      <c r="E23" s="43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5" t="str">
        <f ca="1">OFFSET(L!$C$1,MATCH("Declaration"&amp;ADDRESS(ROW(),COLUMN(),4),L!$A:$A,0)-1,SL,,)</f>
        <v>Answer the following questions 1 - 8 based on the declaration scope indicated above</v>
      </c>
      <c r="C24" s="395"/>
      <c r="D24" s="395"/>
      <c r="E24" s="395"/>
      <c r="F24" s="395"/>
      <c r="G24" s="395"/>
      <c r="H24" s="395"/>
      <c r="I24" s="395"/>
      <c r="J24" s="39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1" t="str">
        <f ca="1">OFFSET(L!$C$1,MATCH("Declaration"&amp;ADDRESS(ROW(),COLUMN(),4),L!$A:$A,0)-1,SL,,)</f>
        <v>Answer</v>
      </c>
      <c r="E25" s="43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2" t="s">
        <v>498</v>
      </c>
      <c r="E26" s="383"/>
      <c r="F26" s="15"/>
      <c r="G26" s="384"/>
      <c r="H26" s="385"/>
      <c r="I26" s="385"/>
      <c r="J26" s="386"/>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2" t="s">
        <v>499</v>
      </c>
      <c r="E27" s="383"/>
      <c r="F27" s="15"/>
      <c r="G27" s="384"/>
      <c r="H27" s="385"/>
      <c r="I27" s="385"/>
      <c r="J27" s="386"/>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2" t="s">
        <v>499</v>
      </c>
      <c r="E28" s="383"/>
      <c r="F28" s="15"/>
      <c r="G28" s="384"/>
      <c r="H28" s="385"/>
      <c r="I28" s="385"/>
      <c r="J28" s="386"/>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2" t="s">
        <v>498</v>
      </c>
      <c r="E29" s="383"/>
      <c r="F29" s="15"/>
      <c r="G29" s="384" t="s">
        <v>15514</v>
      </c>
      <c r="H29" s="385"/>
      <c r="I29" s="385"/>
      <c r="J29" s="386"/>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9" t="str">
        <f ca="1">D25</f>
        <v>Answer</v>
      </c>
      <c r="E31" s="389"/>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9" t="s">
        <v>498</v>
      </c>
      <c r="E32" s="400"/>
      <c r="F32" s="58"/>
      <c r="G32" s="384"/>
      <c r="H32" s="385"/>
      <c r="I32" s="385"/>
      <c r="J32" s="38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2"/>
      <c r="E33" s="383"/>
      <c r="F33" s="58"/>
      <c r="G33" s="384"/>
      <c r="H33" s="385"/>
      <c r="I33" s="385"/>
      <c r="J33" s="38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2"/>
      <c r="E34" s="383"/>
      <c r="F34" s="58"/>
      <c r="G34" s="384"/>
      <c r="H34" s="385"/>
      <c r="I34" s="385"/>
      <c r="J34" s="38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2" t="s">
        <v>498</v>
      </c>
      <c r="E35" s="383"/>
      <c r="F35" s="58"/>
      <c r="G35" s="384"/>
      <c r="H35" s="385"/>
      <c r="I35" s="385"/>
      <c r="J35" s="38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9" t="str">
        <f ca="1">D25</f>
        <v>Answer</v>
      </c>
      <c r="E37" s="389"/>
      <c r="F37" s="21"/>
      <c r="G37" s="55" t="str">
        <f ca="1">G25</f>
        <v>Comments</v>
      </c>
      <c r="H37" s="429"/>
      <c r="I37" s="429"/>
      <c r="J37" s="429"/>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2" t="s">
        <v>498</v>
      </c>
      <c r="E38" s="383"/>
      <c r="F38" s="58"/>
      <c r="G38" s="384"/>
      <c r="H38" s="385"/>
      <c r="I38" s="385"/>
      <c r="J38" s="386"/>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2"/>
      <c r="E39" s="383"/>
      <c r="F39" s="58"/>
      <c r="G39" s="384"/>
      <c r="H39" s="385"/>
      <c r="I39" s="385"/>
      <c r="J39" s="386"/>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2"/>
      <c r="E40" s="383"/>
      <c r="F40" s="58"/>
      <c r="G40" s="384"/>
      <c r="H40" s="385"/>
      <c r="I40" s="385"/>
      <c r="J40" s="386"/>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2" t="s">
        <v>498</v>
      </c>
      <c r="E41" s="383"/>
      <c r="F41" s="58"/>
      <c r="G41" s="384"/>
      <c r="H41" s="385"/>
      <c r="I41" s="385"/>
      <c r="J41" s="386"/>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9" t="str">
        <f ca="1">D25</f>
        <v>Answer</v>
      </c>
      <c r="E43" s="389"/>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2" t="s">
        <v>498</v>
      </c>
      <c r="E44" s="383"/>
      <c r="F44" s="58"/>
      <c r="G44" s="384"/>
      <c r="H44" s="385"/>
      <c r="I44" s="385"/>
      <c r="J44" s="386"/>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2"/>
      <c r="E45" s="383"/>
      <c r="F45" s="58"/>
      <c r="G45" s="384"/>
      <c r="H45" s="385"/>
      <c r="I45" s="385"/>
      <c r="J45" s="386"/>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2"/>
      <c r="E46" s="383"/>
      <c r="F46" s="58"/>
      <c r="G46" s="384"/>
      <c r="H46" s="385"/>
      <c r="I46" s="385"/>
      <c r="J46" s="386"/>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2" t="s">
        <v>498</v>
      </c>
      <c r="E47" s="383"/>
      <c r="F47" s="58"/>
      <c r="G47" s="384"/>
      <c r="H47" s="385"/>
      <c r="I47" s="385"/>
      <c r="J47" s="386"/>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9" t="str">
        <f ca="1">D25</f>
        <v>Answer</v>
      </c>
      <c r="E49" s="389"/>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2" t="s">
        <v>499</v>
      </c>
      <c r="E50" s="383"/>
      <c r="F50" s="58"/>
      <c r="G50" s="384"/>
      <c r="H50" s="385"/>
      <c r="I50" s="385"/>
      <c r="J50" s="38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2"/>
      <c r="E51" s="383"/>
      <c r="F51" s="58"/>
      <c r="G51" s="384"/>
      <c r="H51" s="385"/>
      <c r="I51" s="385"/>
      <c r="J51" s="38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2"/>
      <c r="E52" s="383"/>
      <c r="F52" s="58"/>
      <c r="G52" s="384"/>
      <c r="H52" s="385"/>
      <c r="I52" s="385"/>
      <c r="J52" s="38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2" t="s">
        <v>499</v>
      </c>
      <c r="E53" s="383"/>
      <c r="F53" s="58"/>
      <c r="G53" s="384"/>
      <c r="H53" s="385"/>
      <c r="I53" s="385"/>
      <c r="J53" s="38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9" t="str">
        <f ca="1">D25</f>
        <v>Answer</v>
      </c>
      <c r="E55" s="389"/>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7">
        <v>1</v>
      </c>
      <c r="E56" s="388"/>
      <c r="F56" s="58"/>
      <c r="G56" s="384"/>
      <c r="H56" s="385"/>
      <c r="I56" s="385"/>
      <c r="J56" s="38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7"/>
      <c r="E57" s="388"/>
      <c r="F57" s="58"/>
      <c r="G57" s="384"/>
      <c r="H57" s="385"/>
      <c r="I57" s="385"/>
      <c r="J57" s="38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7"/>
      <c r="E58" s="388"/>
      <c r="F58" s="58"/>
      <c r="G58" s="384"/>
      <c r="H58" s="385"/>
      <c r="I58" s="385"/>
      <c r="J58" s="38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7">
        <v>1</v>
      </c>
      <c r="E59" s="388"/>
      <c r="F59" s="58"/>
      <c r="G59" s="384"/>
      <c r="H59" s="385"/>
      <c r="I59" s="385"/>
      <c r="J59" s="38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9" t="str">
        <f ca="1">D25</f>
        <v>Answer</v>
      </c>
      <c r="E61" s="389"/>
      <c r="F61" s="21"/>
      <c r="G61" s="55" t="str">
        <f ca="1">G25</f>
        <v>Comments</v>
      </c>
      <c r="H61" s="428"/>
      <c r="I61" s="428"/>
      <c r="J61" s="42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9" t="s">
        <v>498</v>
      </c>
      <c r="E62" s="400"/>
      <c r="F62" s="58"/>
      <c r="G62" s="384"/>
      <c r="H62" s="385"/>
      <c r="I62" s="385"/>
      <c r="J62" s="38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2"/>
      <c r="E63" s="383"/>
      <c r="F63" s="58"/>
      <c r="G63" s="384"/>
      <c r="H63" s="385"/>
      <c r="I63" s="385"/>
      <c r="J63" s="38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2"/>
      <c r="E64" s="383"/>
      <c r="F64" s="58"/>
      <c r="G64" s="384"/>
      <c r="H64" s="385"/>
      <c r="I64" s="385"/>
      <c r="J64" s="38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2" t="s">
        <v>498</v>
      </c>
      <c r="E65" s="383"/>
      <c r="F65" s="58"/>
      <c r="G65" s="384"/>
      <c r="H65" s="385"/>
      <c r="I65" s="385"/>
      <c r="J65" s="38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9" t="str">
        <f ca="1">D25</f>
        <v>Answer</v>
      </c>
      <c r="E67" s="389"/>
      <c r="F67" s="21"/>
      <c r="G67" s="55" t="str">
        <f ca="1">G25</f>
        <v>Comments</v>
      </c>
      <c r="H67" s="428" t="str">
        <f>IF(Q75="(*)","Click here to enter smelter names","")</f>
        <v/>
      </c>
      <c r="I67" s="428"/>
      <c r="J67" s="42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2" t="s">
        <v>498</v>
      </c>
      <c r="E68" s="383"/>
      <c r="F68" s="59"/>
      <c r="G68" s="384"/>
      <c r="H68" s="385"/>
      <c r="I68" s="385"/>
      <c r="J68" s="38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2"/>
      <c r="E69" s="383"/>
      <c r="F69" s="59"/>
      <c r="G69" s="384"/>
      <c r="H69" s="385"/>
      <c r="I69" s="385"/>
      <c r="J69" s="38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2"/>
      <c r="E70" s="383"/>
      <c r="F70" s="59"/>
      <c r="G70" s="384"/>
      <c r="H70" s="385"/>
      <c r="I70" s="385"/>
      <c r="J70" s="38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2" t="s">
        <v>498</v>
      </c>
      <c r="E71" s="383"/>
      <c r="F71" s="61"/>
      <c r="G71" s="384"/>
      <c r="H71" s="385"/>
      <c r="I71" s="385"/>
      <c r="J71" s="38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2" t="str">
        <f ca="1">OFFSET(L!$C$1,MATCH("Declaration"&amp;ADDRESS(ROW(),COLUMN(),4),L!$A:$A,0)-1,SL,,)</f>
        <v>Answer the Following Questions at a Company Level</v>
      </c>
      <c r="C73" s="442"/>
      <c r="D73" s="442"/>
      <c r="E73" s="442"/>
      <c r="F73" s="442"/>
      <c r="G73" s="442"/>
      <c r="H73" s="442"/>
      <c r="I73" s="442"/>
      <c r="J73" s="44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1" t="str">
        <f ca="1">D25</f>
        <v>Answer</v>
      </c>
      <c r="E74" s="431"/>
      <c r="F74" s="64"/>
      <c r="G74" s="431" t="str">
        <f ca="1">G25</f>
        <v>Comments</v>
      </c>
      <c r="H74" s="431" t="e">
        <f>HLOOKUP(SL,LT,$O74,0)</f>
        <v>#NAME?</v>
      </c>
      <c r="I74" s="43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2" t="s">
        <v>498</v>
      </c>
      <c r="E75" s="383"/>
      <c r="F75" s="68"/>
      <c r="G75" s="384"/>
      <c r="H75" s="385"/>
      <c r="I75" s="385"/>
      <c r="J75" s="386"/>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2"/>
      <c r="H76" s="432"/>
      <c r="I76" s="432"/>
      <c r="J76" s="43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2" t="s">
        <v>498</v>
      </c>
      <c r="E77" s="383"/>
      <c r="F77" s="68"/>
      <c r="G77" s="401" t="s">
        <v>15529</v>
      </c>
      <c r="H77" s="402"/>
      <c r="I77" s="402"/>
      <c r="J77" s="403"/>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2" t="s">
        <v>498</v>
      </c>
      <c r="E79" s="383"/>
      <c r="F79" s="68"/>
      <c r="G79" s="384"/>
      <c r="H79" s="385"/>
      <c r="I79" s="385"/>
      <c r="J79" s="386"/>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2" t="s">
        <v>498</v>
      </c>
      <c r="E81" s="383"/>
      <c r="F81" s="68"/>
      <c r="G81" s="384"/>
      <c r="H81" s="385"/>
      <c r="I81" s="385"/>
      <c r="J81" s="386"/>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2" t="s">
        <v>15443</v>
      </c>
      <c r="E83" s="383"/>
      <c r="F83" s="68"/>
      <c r="G83" s="384"/>
      <c r="H83" s="385"/>
      <c r="I83" s="385"/>
      <c r="J83" s="386"/>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9" t="s">
        <v>498</v>
      </c>
      <c r="E85" s="440"/>
      <c r="F85" s="68"/>
      <c r="G85" s="384"/>
      <c r="H85" s="385"/>
      <c r="I85" s="385"/>
      <c r="J85" s="386"/>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2"/>
      <c r="H86" s="432"/>
      <c r="I86" s="432"/>
      <c r="J86" s="43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2" t="s">
        <v>498</v>
      </c>
      <c r="E87" s="383"/>
      <c r="F87" s="68"/>
      <c r="G87" s="384"/>
      <c r="H87" s="385"/>
      <c r="I87" s="385"/>
      <c r="J87" s="386"/>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2" t="s">
        <v>14353</v>
      </c>
      <c r="E89" s="383"/>
      <c r="F89" s="68"/>
      <c r="G89" s="384"/>
      <c r="H89" s="385"/>
      <c r="I89" s="385"/>
      <c r="J89" s="386"/>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8" t="str">
        <f>IF(OR($D$8="",$I$3=""),"","Click here to check required fields completion")</f>
        <v/>
      </c>
      <c r="C90" s="438"/>
      <c r="D90" s="438"/>
      <c r="E90" s="438"/>
      <c r="F90" s="438"/>
      <c r="G90" s="438"/>
      <c r="H90" s="438"/>
      <c r="I90" s="438"/>
      <c r="J90" s="43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2020 Responsible Minerals Initiative. All rights reserved.</v>
      </c>
      <c r="B91" s="437"/>
      <c r="C91" s="437"/>
      <c r="D91" s="437"/>
      <c r="E91" s="437"/>
      <c r="F91" s="437"/>
      <c r="G91" s="437"/>
      <c r="H91" s="437"/>
      <c r="I91" s="437"/>
      <c r="J91" s="43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63" stopIfTrue="1">
      <formula>AND(OR($D$26="No",AND($D$26="Yes",$D$32="No")),OR($D$27="No",AND($D$27="Yes",$D$33="No")),OR($D$28="No",AND($D$28="Yes",$D$34="No")),OR($D$29="No",AND($D$29="Yes",$D$35="No")))</formula>
    </cfRule>
    <cfRule type="expression" dxfId="101" priority="64" stopIfTrue="1">
      <formula>IF(D75="",TRUE)</formula>
    </cfRule>
  </conditionalFormatting>
  <conditionalFormatting sqref="G77:J77">
    <cfRule type="expression" dxfId="100" priority="35" stopIfTrue="1">
      <formula>IF(AND($D$77="Yes",$G$77=""),TRUE)</formula>
    </cfRule>
  </conditionalFormatting>
  <conditionalFormatting sqref="D26:E26">
    <cfRule type="expression" dxfId="99" priority="115" stopIfTrue="1">
      <formula>IF($D$26="",TRUE)</formula>
    </cfRule>
  </conditionalFormatting>
  <conditionalFormatting sqref="D27:E27">
    <cfRule type="expression" dxfId="98" priority="122" stopIfTrue="1">
      <formula>IF($D$27="",TRUE)</formula>
    </cfRule>
  </conditionalFormatting>
  <conditionalFormatting sqref="D28:E28">
    <cfRule type="expression" dxfId="97" priority="123" stopIfTrue="1">
      <formula>IF($D$28="",TRUE)</formula>
    </cfRule>
  </conditionalFormatting>
  <conditionalFormatting sqref="D29:E29">
    <cfRule type="expression" dxfId="96" priority="124" stopIfTrue="1">
      <formula>IF($D$29="",TRUE)</formula>
    </cfRule>
  </conditionalFormatting>
  <conditionalFormatting sqref="D8:J8">
    <cfRule type="expression" dxfId="95" priority="129" stopIfTrue="1">
      <formula>IF($D$8="",TRUE)</formula>
    </cfRule>
  </conditionalFormatting>
  <conditionalFormatting sqref="D9:G9">
    <cfRule type="expression" dxfId="94" priority="130" stopIfTrue="1">
      <formula>IF($D$9="",TRUE)</formula>
    </cfRule>
  </conditionalFormatting>
  <conditionalFormatting sqref="D15:J15">
    <cfRule type="expression" dxfId="93" priority="131" stopIfTrue="1">
      <formula>IF($D$15="",TRUE)</formula>
    </cfRule>
  </conditionalFormatting>
  <conditionalFormatting sqref="D16:J16">
    <cfRule type="expression" dxfId="92" priority="132" stopIfTrue="1">
      <formula>IF($D$16="",TRUE)</formula>
    </cfRule>
  </conditionalFormatting>
  <conditionalFormatting sqref="D17:J17">
    <cfRule type="expression" dxfId="91" priority="133" stopIfTrue="1">
      <formula>IF($D$17="",TRUE)</formula>
    </cfRule>
  </conditionalFormatting>
  <conditionalFormatting sqref="D18:J18">
    <cfRule type="expression" dxfId="90" priority="134" stopIfTrue="1">
      <formula>IF($D$18="",TRUE)</formula>
    </cfRule>
  </conditionalFormatting>
  <conditionalFormatting sqref="D22:E22">
    <cfRule type="expression" dxfId="89" priority="137" stopIfTrue="1">
      <formula>IF($D$22="",TRUE)</formula>
    </cfRule>
  </conditionalFormatting>
  <conditionalFormatting sqref="D10:J10">
    <cfRule type="expression" dxfId="88" priority="34" stopIfTrue="1">
      <formula>IF($D$9=$Q$9,TRUE)</formula>
    </cfRule>
    <cfRule type="expression" dxfId="87" priority="144" stopIfTrue="1">
      <formula>IF(AND($D$10="",$D$9=$R$9),TRUE)</formula>
    </cfRule>
  </conditionalFormatting>
  <conditionalFormatting sqref="D34:E34 D40:E40 D52:E52 D58:E58 D64:E64 D70:E70">
    <cfRule type="expression" dxfId="86" priority="27" stopIfTrue="1">
      <formula>$P$28=""</formula>
    </cfRule>
  </conditionalFormatting>
  <conditionalFormatting sqref="D35:E35 D41:E41 D53:E53 D59:E59 D65:E65 D71:E71">
    <cfRule type="expression" dxfId="85" priority="142" stopIfTrue="1">
      <formula>$P$29=""</formula>
    </cfRule>
  </conditionalFormatting>
  <conditionalFormatting sqref="D32:E32">
    <cfRule type="expression" dxfId="84" priority="120" stopIfTrue="1">
      <formula>$P$26=""</formula>
    </cfRule>
  </conditionalFormatting>
  <conditionalFormatting sqref="D32:E32">
    <cfRule type="expression" dxfId="83" priority="33" stopIfTrue="1">
      <formula>IF(AND(OR($D$26="Yes",$D$26=""),$D$32=""),1,0)</formula>
    </cfRule>
  </conditionalFormatting>
  <conditionalFormatting sqref="D38 D50 D56 D62 D68">
    <cfRule type="expression" dxfId="82" priority="29" stopIfTrue="1">
      <formula>$P$32=""</formula>
    </cfRule>
  </conditionalFormatting>
  <conditionalFormatting sqref="D39:E39 D51 D57 D63 D69">
    <cfRule type="expression" dxfId="81" priority="28" stopIfTrue="1">
      <formula>$P$33=""</formula>
    </cfRule>
  </conditionalFormatting>
  <conditionalFormatting sqref="D40 D52 D58 D64 D70">
    <cfRule type="expression" dxfId="80" priority="18" stopIfTrue="1">
      <formula>$P$34=""</formula>
    </cfRule>
    <cfRule type="expression" dxfId="79" priority="140" stopIfTrue="1">
      <formula>IF(AND(OR($D$28="Yes",$D$28=""),D40=""),1,0)</formula>
    </cfRule>
  </conditionalFormatting>
  <conditionalFormatting sqref="D41 D53 D59 D65 D71">
    <cfRule type="expression" dxfId="78" priority="26" stopIfTrue="1">
      <formula>$P$35=""</formula>
    </cfRule>
  </conditionalFormatting>
  <conditionalFormatting sqref="D38:E38 D50:E50 D56:E56 D62:E62 D68:E68">
    <cfRule type="expression" dxfId="77" priority="31" stopIfTrue="1">
      <formula>$P$26=""</formula>
    </cfRule>
    <cfRule type="expression" dxfId="76" priority="32" stopIfTrue="1">
      <formula>IF(AND(OR($D$26="Yes",$D$26=""),D38=""),1,0)</formula>
    </cfRule>
  </conditionalFormatting>
  <conditionalFormatting sqref="G85:J85">
    <cfRule type="expression" dxfId="75" priority="25" stopIfTrue="1">
      <formula>IF(AND($D$85="Yes, using other format (describe)",$G$85=""),TRUE)</formula>
    </cfRule>
  </conditionalFormatting>
  <conditionalFormatting sqref="D39:E39 D51:E51 D57:E57 D63:E63 D69:E69">
    <cfRule type="expression" dxfId="74" priority="138" stopIfTrue="1">
      <formula>$P$39=""</formula>
    </cfRule>
    <cfRule type="expression" dxfId="73" priority="139" stopIfTrue="1">
      <formula>IF(AND(OR($D$27="Yes",$D$27=""),D39=""),1,0)</formula>
    </cfRule>
  </conditionalFormatting>
  <conditionalFormatting sqref="D33:E33">
    <cfRule type="expression" dxfId="72" priority="20" stopIfTrue="1">
      <formula>IF(AND(OR($D$27="Yes",$D$27=""),$D$33=""),1,0)</formula>
    </cfRule>
    <cfRule type="expression" dxfId="71" priority="21" stopIfTrue="1">
      <formula>$P$27=""</formula>
    </cfRule>
  </conditionalFormatting>
  <conditionalFormatting sqref="D34:E34">
    <cfRule type="expression" dxfId="70" priority="141" stopIfTrue="1">
      <formula>IF(AND(OR($D$28="Yes",$D$28=""),$D$34=""),1,0)</formula>
    </cfRule>
  </conditionalFormatting>
  <conditionalFormatting sqref="D41:E41 D53:E53 D59:E59 D65:E65 D71:E71">
    <cfRule type="expression" dxfId="69" priority="143" stopIfTrue="1">
      <formula>IF(AND(OR($D$29="Yes",$D$29=""),D41=""),1,0)</formula>
    </cfRule>
  </conditionalFormatting>
  <conditionalFormatting sqref="D35:E35">
    <cfRule type="expression" dxfId="68" priority="17" stopIfTrue="1">
      <formula>IF(AND(OR($D$29="Yes",$D$29=""),$D$35=""),1,0)</formula>
    </cfRule>
  </conditionalFormatting>
  <conditionalFormatting sqref="D20:J20">
    <cfRule type="expression" dxfId="67" priority="13" stopIfTrue="1">
      <formula>IF($D$20="",TRUE)</formula>
    </cfRule>
  </conditionalFormatting>
  <conditionalFormatting sqref="D46:E46">
    <cfRule type="expression" dxfId="66" priority="3" stopIfTrue="1">
      <formula>$P$28=""</formula>
    </cfRule>
  </conditionalFormatting>
  <conditionalFormatting sqref="D47:E47">
    <cfRule type="expression" dxfId="65" priority="11" stopIfTrue="1">
      <formula>$P$29=""</formula>
    </cfRule>
  </conditionalFormatting>
  <conditionalFormatting sqref="D44">
    <cfRule type="expression" dxfId="64" priority="5" stopIfTrue="1">
      <formula>$P$32=""</formula>
    </cfRule>
  </conditionalFormatting>
  <conditionalFormatting sqref="D45">
    <cfRule type="expression" dxfId="63" priority="4" stopIfTrue="1">
      <formula>$P$33=""</formula>
    </cfRule>
  </conditionalFormatting>
  <conditionalFormatting sqref="D46">
    <cfRule type="expression" dxfId="62" priority="1" stopIfTrue="1">
      <formula>$P$34=""</formula>
    </cfRule>
    <cfRule type="expression" dxfId="61" priority="10" stopIfTrue="1">
      <formula>IF(AND(OR($D$28="Yes",$D$28=""),D46=""),1,0)</formula>
    </cfRule>
  </conditionalFormatting>
  <conditionalFormatting sqref="D47">
    <cfRule type="expression" dxfId="60" priority="2" stopIfTrue="1">
      <formula>$P$35=""</formula>
    </cfRule>
  </conditionalFormatting>
  <conditionalFormatting sqref="D44:E44">
    <cfRule type="expression" dxfId="59" priority="6" stopIfTrue="1">
      <formula>$P$26=""</formula>
    </cfRule>
    <cfRule type="expression" dxfId="58" priority="7" stopIfTrue="1">
      <formula>IF(AND(OR($D$26="Yes",$D$26=""),D44=""),1,0)</formula>
    </cfRule>
  </conditionalFormatting>
  <conditionalFormatting sqref="D45:E45">
    <cfRule type="expression" dxfId="57" priority="8" stopIfTrue="1">
      <formula>$P$39=""</formula>
    </cfRule>
    <cfRule type="expression" dxfId="56" priority="9" stopIfTrue="1">
      <formula>IF(AND(OR($D$27="Yes",$D$27=""),D45=""),1,0)</formula>
    </cfRule>
  </conditionalFormatting>
  <conditionalFormatting sqref="D47:E47">
    <cfRule type="expression" dxfId="55"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A38" sqref="A3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3" t="str">
        <f ca="1">OFFSET(L!$C$1,MATCH("Smelter List"&amp;ADDRESS(ROW(),COLUMN(),4),L!$A:$A,0)-1,SL,,)</f>
        <v>Link to "RMAP Conformant Smelter List"</v>
      </c>
      <c r="K2" s="444"/>
      <c r="L2" s="444"/>
      <c r="M2" s="444"/>
      <c r="N2" s="444"/>
      <c r="O2" s="444"/>
      <c r="P2" s="234"/>
      <c r="Q2" s="235"/>
      <c r="R2" s="236"/>
      <c r="S2" s="236"/>
      <c r="T2" s="236"/>
      <c r="U2" s="267"/>
      <c r="V2" s="267"/>
      <c r="W2" s="268"/>
      <c r="X2" s="267"/>
      <c r="Y2" s="267"/>
      <c r="Z2" s="267"/>
      <c r="AH2" s="176" t="s">
        <v>498</v>
      </c>
    </row>
    <row r="3" spans="1:34" s="269" customFormat="1" ht="243.95" customHeight="1">
      <c r="A3" s="204"/>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0"/>
      <c r="G3" s="446" t="str">
        <f ca="1">OFFSET(L!$C$1,MATCH("General"&amp;"Cpy",L!$A:$A,0)-1,SL,,)</f>
        <v>© 2020 Responsible Minerals Initiative. All rights reserved.</v>
      </c>
      <c r="H3" s="446"/>
      <c r="I3" s="447"/>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7" t="s">
        <v>823</v>
      </c>
      <c r="B5" s="217" t="str">
        <f ca="1">IF(LEN(A5)=0,"",INDEX('Smelter Look-up'!$A:$A,MATCH($A5,'Smelter Look-up'!$E:$E,0)))</f>
        <v>Tungsten</v>
      </c>
      <c r="C5" s="221" t="str">
        <f ca="1">IF(LEN(A5)=0,"",INDEX('Smelter Look-up'!$C:$C,MATCH($A5,'Smelter Look-up'!$E:$E,0)))</f>
        <v>Xiamen Tungsten Co., Ltd.</v>
      </c>
      <c r="D5" s="221" t="s">
        <v>1406</v>
      </c>
      <c r="E5" s="217" t="str">
        <f ca="1">IF(ISERROR($V5),"",OFFSET('Smelter Look-up'!$D$4,$V5-4,0)&amp;"")</f>
        <v>CHINA</v>
      </c>
      <c r="F5" s="217" t="str">
        <f ca="1">IF(ISERROR($V5),"",OFFSET('Smelter Look-up'!$E$4,$V5-4,0))</f>
        <v>CID002082</v>
      </c>
      <c r="G5" s="217" t="str">
        <f ca="1">IF(C5=$X$4,"Enter smelter details",IF(ISERROR($V5),"",OFFSET('Smelter Look-up'!$F$4,$V5-4,0)))</f>
        <v>RMI</v>
      </c>
      <c r="H5" s="218" t="s">
        <v>15515</v>
      </c>
      <c r="I5" s="219" t="str">
        <f ca="1">IF(ISERROR($V5),"",OFFSET('Smelter Look-up'!$H$4,$V5-4,0))</f>
        <v>Xiamen</v>
      </c>
      <c r="J5" s="219" t="str">
        <f ca="1">IF(ISERROR($V5),"",OFFSET('Smelter Look-up'!$I$4,$V5-4,0))</f>
        <v>Fujian Sheng</v>
      </c>
      <c r="K5" s="348" t="s">
        <v>15517</v>
      </c>
      <c r="L5" s="348" t="s">
        <v>15518</v>
      </c>
      <c r="M5" s="348" t="s">
        <v>2483</v>
      </c>
      <c r="N5" s="348" t="s">
        <v>2483</v>
      </c>
      <c r="O5" s="348" t="s">
        <v>2483</v>
      </c>
      <c r="P5" s="220" t="s">
        <v>499</v>
      </c>
      <c r="Q5" s="350" t="s">
        <v>15527</v>
      </c>
      <c r="R5" s="217" t="str">
        <f ca="1">IF(ISERROR($V5),"",OFFSET('Smelter Look-up'!$C$4,$V5-4,0)&amp;"")</f>
        <v>Xiamen Tungsten Co., Ltd.</v>
      </c>
      <c r="S5" s="225" t="str">
        <f t="shared" ref="S5" ca="1" si="0">IF(B5="","",IF(ISERROR(MATCH($E5,CL,0)),"Unknown",INDIRECT("'C'!$A$"&amp;MATCH($E5,CL,0)+1)))</f>
        <v>CN</v>
      </c>
      <c r="T5" s="225" t="str">
        <f ca="1">IF(B5="","",IF(ISERROR(MATCH($J5,SorP!$B$1:$B$6230,0)),"",INDIRECT("'SorP'!$A$"&amp;MATCH($J5,SorP!$B$1:$B$6230,0))))</f>
        <v>CN-FJ</v>
      </c>
      <c r="U5" s="241"/>
      <c r="V5" s="275">
        <f ca="1">IF(C5="",NA(),MATCH($B5&amp;$C5,'Smelter Look-up'!$J:$J,0))</f>
        <v>558</v>
      </c>
      <c r="W5" s="276"/>
      <c r="X5" s="276">
        <f t="shared" ref="X5" ca="1" si="1">IF(AND(C5="Smelter not listed",OR(LEN(D5)=0,LEN(E5)=0)),1,0)</f>
        <v>0</v>
      </c>
      <c r="Y5" s="276"/>
      <c r="Z5" s="276"/>
      <c r="AB5" s="278" t="str">
        <f t="shared" ref="AB5" ca="1" si="2">B5&amp;C5</f>
        <v>TungstenXiamen Tungsten Co., Ltd.</v>
      </c>
    </row>
    <row r="6" spans="1:34" s="277" customFormat="1" ht="20.100000000000001" customHeight="1">
      <c r="A6" s="216" t="s">
        <v>403</v>
      </c>
      <c r="B6" s="217" t="str">
        <f ca="1">IF(LEN(A6)=0,"",INDEX('Smelter Look-up'!$A:$A,MATCH($A6,'Smelter Look-up'!$E:$E,0)))</f>
        <v>Tungsten</v>
      </c>
      <c r="C6" s="221" t="str">
        <f ca="1">IF(LEN(A6)=0,"",INDEX('Smelter Look-up'!$C:$C,MATCH($A6,'Smelter Look-up'!$E:$E,0)))</f>
        <v>Ganzhou Seadragon W &amp; Mo Co., Ltd.</v>
      </c>
      <c r="D6" s="221" t="s">
        <v>1</v>
      </c>
      <c r="E6" s="217" t="str">
        <f ca="1">IF(ISERROR($V6),"",OFFSET('Smelter Look-up'!$D$4,$V6-4,0)&amp;"")</f>
        <v>CHINA</v>
      </c>
      <c r="F6" s="217" t="str">
        <f ca="1">IF(ISERROR($V6),"",OFFSET('Smelter Look-up'!$E$4,$V6-4,0))</f>
        <v>CID002494</v>
      </c>
      <c r="G6" s="217" t="str">
        <f ca="1">IF(C6=$X$4,"Enter smelter details",IF(ISERROR($V6),"",OFFSET('Smelter Look-up'!$F$4,$V6-4,0)))</f>
        <v>RMI</v>
      </c>
      <c r="H6" s="218" t="s">
        <v>15516</v>
      </c>
      <c r="I6" s="219" t="str">
        <f ca="1">IF(ISERROR($V6),"",OFFSET('Smelter Look-up'!$H$4,$V6-4,0))</f>
        <v>Ganzhou</v>
      </c>
      <c r="J6" s="219" t="str">
        <f ca="1">IF(ISERROR($V6),"",OFFSET('Smelter Look-up'!$I$4,$V6-4,0))</f>
        <v>Jiangxi Sheng</v>
      </c>
      <c r="K6" s="348" t="s">
        <v>15519</v>
      </c>
      <c r="L6" s="348" t="s">
        <v>15520</v>
      </c>
      <c r="M6" s="348" t="s">
        <v>2483</v>
      </c>
      <c r="N6" s="348" t="s">
        <v>15524</v>
      </c>
      <c r="O6" s="348" t="s">
        <v>15524</v>
      </c>
      <c r="P6" s="220" t="s">
        <v>499</v>
      </c>
      <c r="Q6" s="350" t="s">
        <v>15527</v>
      </c>
      <c r="R6" s="217" t="str">
        <f ca="1">IF(ISERROR($V6),"",OFFSET('Smelter Look-up'!$C$4,$V6-4,0)&amp;"")</f>
        <v>Ganzhou Seadragon W &amp; Mo Co., Ltd.</v>
      </c>
      <c r="S6" s="225" t="str">
        <f t="shared" ref="S6:S37" ca="1" si="3">IF(B6="","",IF(ISERROR(MATCH($E6,CL,0)),"Unknown",INDIRECT("'C'!$A$"&amp;MATCH($E6,CL,0)+1)))</f>
        <v>CN</v>
      </c>
      <c r="T6" s="225" t="str">
        <f ca="1">IF(B6="","",IF(ISERROR(MATCH($J6,SorP!$B$1:$B$6230,0)),"",INDIRECT("'SorP'!$A$"&amp;MATCH($J6,SorP!$B$1:$B$6230,0))))</f>
        <v>CN-JX</v>
      </c>
      <c r="U6" s="241"/>
      <c r="V6" s="275">
        <f ca="1">IF(C6="",NA(),MATCH($B6&amp;$C6,'Smelter Look-up'!$J:$J,0))</f>
        <v>510</v>
      </c>
      <c r="W6" s="276"/>
      <c r="X6" s="276">
        <f t="shared" ref="X6:X37" ca="1" si="4">IF(AND(C6="Smelter not listed",OR(LEN(D6)=0,LEN(E6)=0)),1,0)</f>
        <v>0</v>
      </c>
      <c r="Y6" s="276"/>
      <c r="Z6" s="276"/>
      <c r="AB6" s="278" t="str">
        <f t="shared" ref="AB6:AB37" ca="1" si="5">B6&amp;C6</f>
        <v>TungstenGanzhou Seadragon W &amp; Mo Co., Ltd.</v>
      </c>
    </row>
    <row r="7" spans="1:34" s="277" customFormat="1" ht="20.100000000000001" customHeight="1">
      <c r="A7" s="216" t="s">
        <v>1454</v>
      </c>
      <c r="B7" s="217" t="str">
        <f ca="1">IF(LEN(A7)=0,"",INDEX('Smelter Look-up'!$A:$A,MATCH($A7,'Smelter Look-up'!$E:$E,0)))</f>
        <v>Tungsten</v>
      </c>
      <c r="C7" s="221" t="str">
        <f ca="1">IF(LEN(A7)=0,"",INDEX('Smelter Look-up'!$C:$C,MATCH($A7,'Smelter Look-up'!$E:$E,0)))</f>
        <v>Jiangwu H.C. Starck Tungsten Products Co., Ltd.</v>
      </c>
      <c r="D7" s="221" t="s">
        <v>152</v>
      </c>
      <c r="E7" s="217" t="str">
        <f ca="1">IF(ISERROR($V7),"",OFFSET('Smelter Look-up'!$D$4,$V7-4,0)&amp;"")</f>
        <v>CHINA</v>
      </c>
      <c r="F7" s="217" t="str">
        <f ca="1">IF(ISERROR($V7),"",OFFSET('Smelter Look-up'!$E$4,$V7-4,0))</f>
        <v>CID002551</v>
      </c>
      <c r="G7" s="217" t="str">
        <f ca="1">IF(C7=$X$4,"Enter smelter details",IF(ISERROR($V7),"",OFFSET('Smelter Look-up'!$F$4,$V7-4,0)))</f>
        <v>RMI</v>
      </c>
      <c r="H7" s="218">
        <f ca="1">IF(ISERROR($V7),"",OFFSET('Smelter Look-up'!$G$4,$V7-4,0))</f>
        <v>0</v>
      </c>
      <c r="I7" s="219" t="str">
        <f ca="1">IF(ISERROR($V7),"",OFFSET('Smelter Look-up'!$H$4,$V7-4,0))</f>
        <v>Ganzhou</v>
      </c>
      <c r="J7" s="219" t="str">
        <f ca="1">IF(ISERROR($V7),"",OFFSET('Smelter Look-up'!$I$4,$V7-4,0))</f>
        <v>Jiangxi Sheng</v>
      </c>
      <c r="K7" s="348" t="s">
        <v>15521</v>
      </c>
      <c r="L7" s="220" t="s">
        <v>15522</v>
      </c>
      <c r="M7" s="349" t="s">
        <v>15525</v>
      </c>
      <c r="N7" s="349" t="s">
        <v>15526</v>
      </c>
      <c r="O7" s="220"/>
      <c r="P7" s="350" t="s">
        <v>499</v>
      </c>
      <c r="Q7" s="350"/>
      <c r="R7" s="217" t="str">
        <f ca="1">IF(ISERROR($V7),"",OFFSET('Smelter Look-up'!$C$4,$V7-4,0)&amp;"")</f>
        <v>Jiangwu H.C. Starck Tungsten Products Co., Ltd.</v>
      </c>
      <c r="S7" s="225" t="str">
        <f t="shared" ca="1" si="3"/>
        <v>CN</v>
      </c>
      <c r="T7" s="225" t="str">
        <f ca="1">IF(B7="","",IF(ISERROR(MATCH($J7,SorP!$B$1:$B$6230,0)),"",INDIRECT("'SorP'!$A$"&amp;MATCH($J7,SorP!$B$1:$B$6230,0))))</f>
        <v>CN-JX</v>
      </c>
      <c r="U7" s="241"/>
      <c r="V7" s="275">
        <f ca="1">IF(C7="",NA(),MATCH($B7&amp;$C7,'Smelter Look-up'!$J:$J,0))</f>
        <v>526</v>
      </c>
      <c r="W7" s="276"/>
      <c r="X7" s="276">
        <f t="shared" ca="1" si="4"/>
        <v>0</v>
      </c>
      <c r="Y7" s="276"/>
      <c r="Z7" s="276"/>
      <c r="AB7" s="278" t="str">
        <f t="shared" ca="1" si="5"/>
        <v>TungstenJiangwu H.C. Starck Tungsten Products Co., Ltd.</v>
      </c>
    </row>
    <row r="8" spans="1:34" s="277" customFormat="1" ht="20.100000000000001" customHeight="1">
      <c r="A8" s="216" t="s">
        <v>1429</v>
      </c>
      <c r="B8" s="217" t="str">
        <f ca="1">IF(LEN(A8)=0,"",INDEX('Smelter Look-up'!$A:$A,MATCH($A8,'Smelter Look-up'!$E:$E,0)))</f>
        <v>Tungsten</v>
      </c>
      <c r="C8" s="221" t="str">
        <f ca="1">IF(LEN(A8)=0,"",INDEX('Smelter Look-up'!$C:$C,MATCH($A8,'Smelter Look-up'!$E:$E,0)))</f>
        <v>Chenzhou Diamond Tungsten Products Co., Ltd.</v>
      </c>
      <c r="D8" s="221" t="s">
        <v>1405</v>
      </c>
      <c r="E8" s="217" t="str">
        <f ca="1">IF(ISERROR($V8),"",OFFSET('Smelter Look-up'!$D$4,$V8-4,0)&amp;"")</f>
        <v>CHINA</v>
      </c>
      <c r="F8" s="217" t="str">
        <f ca="1">IF(ISERROR($V8),"",OFFSET('Smelter Look-up'!$E$4,$V8-4,0))</f>
        <v>CID002513</v>
      </c>
      <c r="G8" s="217" t="str">
        <f ca="1">IF(C8=$X$4,"Enter smelter details",IF(ISERROR($V8),"",OFFSET('Smelter Look-up'!$F$4,$V8-4,0)))</f>
        <v>RMI</v>
      </c>
      <c r="H8" s="218">
        <f ca="1">IF(ISERROR($V8),"",OFFSET('Smelter Look-up'!$G$4,$V8-4,0))</f>
        <v>0</v>
      </c>
      <c r="I8" s="219" t="str">
        <f ca="1">IF(ISERROR($V8),"",OFFSET('Smelter Look-up'!$H$4,$V8-4,0))</f>
        <v>Chenzhou</v>
      </c>
      <c r="J8" s="219" t="str">
        <f ca="1">IF(ISERROR($V8),"",OFFSET('Smelter Look-up'!$I$4,$V8-4,0))</f>
        <v>Hunan Sheng</v>
      </c>
      <c r="K8" s="348" t="s">
        <v>15523</v>
      </c>
      <c r="L8" s="220" t="s">
        <v>15522</v>
      </c>
      <c r="M8" s="273"/>
      <c r="N8" s="273"/>
      <c r="O8" s="220"/>
      <c r="P8" s="350" t="s">
        <v>499</v>
      </c>
      <c r="Q8" s="350"/>
      <c r="R8" s="217" t="str">
        <f ca="1">IF(ISERROR($V8),"",OFFSET('Smelter Look-up'!$C$4,$V8-4,0)&amp;"")</f>
        <v>Chenzhou Diamond Tungsten Products Co., Ltd.</v>
      </c>
      <c r="S8" s="225" t="str">
        <f t="shared" ca="1" si="3"/>
        <v>CN</v>
      </c>
      <c r="T8" s="225" t="str">
        <f ca="1">IF(B8="","",IF(ISERROR(MATCH($J8,SorP!$B$1:$B$6230,0)),"",INDIRECT("'SorP'!$A$"&amp;MATCH($J8,SorP!$B$1:$B$6230,0))))</f>
        <v>CN-HN</v>
      </c>
      <c r="U8" s="241"/>
      <c r="V8" s="275">
        <f ca="1">IF(C8="",NA(),MATCH($B8&amp;$C8,'Smelter Look-up'!$J:$J,0))</f>
        <v>497</v>
      </c>
      <c r="W8" s="276"/>
      <c r="X8" s="276">
        <f t="shared" ca="1" si="4"/>
        <v>0</v>
      </c>
      <c r="Y8" s="276"/>
      <c r="Z8" s="276"/>
      <c r="AB8" s="278" t="str">
        <f t="shared" ca="1" si="5"/>
        <v>TungstenChenzhou Diamond Tungsten Products Co., Ltd.</v>
      </c>
    </row>
    <row r="9" spans="1:34" s="277" customFormat="1" ht="20.100000000000001" customHeight="1">
      <c r="A9" s="332" t="s">
        <v>148</v>
      </c>
      <c r="B9" s="217" t="str">
        <f ca="1">IF(LEN(A9)=0,"",INDEX('Smelter Look-up'!$A:$A,MATCH($A9,'Smelter Look-up'!$E:$E,0)))</f>
        <v>Tungsten</v>
      </c>
      <c r="C9" s="221" t="str">
        <f ca="1">IF(LEN(A9)=0,"",INDEX('Smelter Look-up'!$C:$C,MATCH($A9,'Smelter Look-up'!$E:$E,0)))</f>
        <v>Xiamen Tungsten (H.C.) Co., Ltd.</v>
      </c>
      <c r="D9" s="221" t="s">
        <v>159</v>
      </c>
      <c r="E9" s="217" t="str">
        <f ca="1">IF(ISERROR($V9),"",OFFSET('Smelter Look-up'!$D$4,$V9-4,0)&amp;"")</f>
        <v>CHINA</v>
      </c>
      <c r="F9" s="217" t="str">
        <f ca="1">IF(ISERROR($V9),"",OFFSET('Smelter Look-up'!$E$4,$V9-4,0))</f>
        <v>CID002320</v>
      </c>
      <c r="G9" s="217" t="str">
        <f ca="1">IF(C9=$X$4,"Enter smelter details",IF(ISERROR($V9),"",OFFSET('Smelter Look-up'!$F$4,$V9-4,0)))</f>
        <v>RMI</v>
      </c>
      <c r="H9" s="218">
        <f ca="1">IF(ISERROR($V9),"",OFFSET('Smelter Look-up'!$G$4,$V9-4,0))</f>
        <v>0</v>
      </c>
      <c r="I9" s="219" t="str">
        <f ca="1">IF(ISERROR($V9),"",OFFSET('Smelter Look-up'!$H$4,$V9-4,0))</f>
        <v>Xiamen</v>
      </c>
      <c r="J9" s="219" t="str">
        <f ca="1">IF(ISERROR($V9),"",OFFSET('Smelter Look-up'!$I$4,$V9-4,0))</f>
        <v>Fujian Sheng</v>
      </c>
      <c r="K9" s="273"/>
      <c r="L9" s="273"/>
      <c r="M9" s="273"/>
      <c r="N9" s="273"/>
      <c r="O9" s="273"/>
      <c r="P9" s="220"/>
      <c r="Q9" s="274"/>
      <c r="R9" s="217" t="str">
        <f ca="1">IF(ISERROR($V9),"",OFFSET('Smelter Look-up'!$C$4,$V9-4,0)&amp;"")</f>
        <v>Xiamen Tungsten (H.C.) Co., Ltd.</v>
      </c>
      <c r="S9" s="225" t="str">
        <f t="shared" ca="1" si="3"/>
        <v>CN</v>
      </c>
      <c r="T9" s="225" t="str">
        <f ca="1">IF(B9="","",IF(ISERROR(MATCH($J9,SorP!$B$1:$B$6230,0)),"",INDIRECT("'SorP'!$A$"&amp;MATCH($J9,SorP!$B$1:$B$6230,0))))</f>
        <v>CN-FJ</v>
      </c>
      <c r="U9" s="241"/>
      <c r="V9" s="275">
        <f ca="1">IF(C9="",NA(),MATCH($B9&amp;$C9,'Smelter Look-up'!$J:$J,0))</f>
        <v>557</v>
      </c>
      <c r="W9" s="276"/>
      <c r="X9" s="276">
        <f t="shared" ca="1" si="4"/>
        <v>0</v>
      </c>
      <c r="Y9" s="276"/>
      <c r="Z9" s="276"/>
      <c r="AB9" s="278" t="str">
        <f t="shared" ca="1" si="5"/>
        <v>TungstenXiamen Tungsten (H.C.) Co., Ltd.</v>
      </c>
    </row>
    <row r="10" spans="1:34" s="277" customFormat="1" ht="20.100000000000001" customHeight="1">
      <c r="A10" s="332" t="s">
        <v>813</v>
      </c>
      <c r="B10" s="217" t="str">
        <f ca="1">IF(LEN(A10)=0,"",INDEX('Smelter Look-up'!$A:$A,MATCH($A10,'Smelter Look-up'!$E:$E,0)))</f>
        <v>Tungsten</v>
      </c>
      <c r="C10" s="221" t="str">
        <f ca="1">IF(LEN(A10)=0,"",INDEX('Smelter Look-up'!$C:$C,MATCH($A10,'Smelter Look-up'!$E:$E,0)))</f>
        <v>Chongyi Zhangyuan Tungsten Co., Ltd.</v>
      </c>
      <c r="D10" s="221" t="s">
        <v>1402</v>
      </c>
      <c r="E10" s="217" t="str">
        <f ca="1">IF(ISERROR($V10),"",OFFSET('Smelter Look-up'!$D$4,$V10-4,0)&amp;"")</f>
        <v>CHINA</v>
      </c>
      <c r="F10" s="217" t="str">
        <f ca="1">IF(ISERROR($V10),"",OFFSET('Smelter Look-up'!$E$4,$V10-4,0))</f>
        <v>CID000258</v>
      </c>
      <c r="G10" s="217" t="str">
        <f ca="1">IF(C10=$X$4,"Enter smelter details",IF(ISERROR($V10),"",OFFSET('Smelter Look-up'!$F$4,$V10-4,0)))</f>
        <v>RMI</v>
      </c>
      <c r="H10" s="218">
        <f ca="1">IF(ISERROR($V10),"",OFFSET('Smelter Look-up'!$G$4,$V10-4,0))</f>
        <v>0</v>
      </c>
      <c r="I10" s="219" t="str">
        <f ca="1">IF(ISERROR($V10),"",OFFSET('Smelter Look-up'!$H$4,$V10-4,0))</f>
        <v>Ganzhou</v>
      </c>
      <c r="J10" s="219" t="str">
        <f ca="1">IF(ISERROR($V10),"",OFFSET('Smelter Look-up'!$I$4,$V10-4,0))</f>
        <v>Jiangxi Sheng</v>
      </c>
      <c r="K10" s="273"/>
      <c r="L10" s="273"/>
      <c r="M10" s="273"/>
      <c r="N10" s="273"/>
      <c r="O10" s="273"/>
      <c r="P10" s="220"/>
      <c r="Q10" s="274"/>
      <c r="R10" s="217" t="str">
        <f ca="1">IF(ISERROR($V10),"",OFFSET('Smelter Look-up'!$C$4,$V10-4,0)&amp;"")</f>
        <v>Chongyi Zhangyuan Tungsten Co., Ltd.</v>
      </c>
      <c r="S10" s="225" t="str">
        <f t="shared" ca="1" si="3"/>
        <v>CN</v>
      </c>
      <c r="T10" s="225" t="str">
        <f ca="1">IF(B10="","",IF(ISERROR(MATCH($J10,SorP!$B$1:$B$6230,0)),"",INDIRECT("'SorP'!$A$"&amp;MATCH($J10,SorP!$B$1:$B$6230,0))))</f>
        <v>CN-JX</v>
      </c>
      <c r="U10" s="241"/>
      <c r="V10" s="275">
        <f ca="1">IF(C10="",NA(),MATCH($B10&amp;$C10,'Smelter Look-up'!$J:$J,0))</f>
        <v>501</v>
      </c>
      <c r="W10" s="276"/>
      <c r="X10" s="276">
        <f t="shared" ca="1" si="4"/>
        <v>0</v>
      </c>
      <c r="Y10" s="276"/>
      <c r="Z10" s="276"/>
      <c r="AB10" s="278" t="str">
        <f t="shared" ca="1" si="5"/>
        <v>TungstenChongyi Zhangyuan Tungsten Co., Ltd.</v>
      </c>
    </row>
    <row r="11" spans="1:34" s="277" customFormat="1" ht="20.100000000000001" customHeight="1">
      <c r="A11" s="332" t="s">
        <v>818</v>
      </c>
      <c r="B11" s="217" t="str">
        <f ca="1">IF(LEN(A11)=0,"",INDEX('Smelter Look-up'!$A:$A,MATCH($A11,'Smelter Look-up'!$E:$E,0)))</f>
        <v>Tungsten</v>
      </c>
      <c r="C11" s="221" t="str">
        <f ca="1">IF(LEN(A11)=0,"",INDEX('Smelter Look-up'!$C:$C,MATCH($A11,'Smelter Look-up'!$E:$E,0)))</f>
        <v>Japan New Metals Co., Ltd.</v>
      </c>
      <c r="D11" s="221" t="s">
        <v>1405</v>
      </c>
      <c r="E11" s="217" t="str">
        <f ca="1">IF(ISERROR($V11),"",OFFSET('Smelter Look-up'!$D$4,$V11-4,0)&amp;"")</f>
        <v>JAPAN</v>
      </c>
      <c r="F11" s="217" t="str">
        <f ca="1">IF(ISERROR($V11),"",OFFSET('Smelter Look-up'!$E$4,$V11-4,0))</f>
        <v>CID000825</v>
      </c>
      <c r="G11" s="217" t="str">
        <f ca="1">IF(C11=$X$4,"Enter smelter details",IF(ISERROR($V11),"",OFFSET('Smelter Look-up'!$F$4,$V11-4,0)))</f>
        <v>RMI</v>
      </c>
      <c r="H11" s="218">
        <f ca="1">IF(ISERROR($V11),"",OFFSET('Smelter Look-up'!$G$4,$V11-4,0))</f>
        <v>0</v>
      </c>
      <c r="I11" s="219" t="str">
        <f ca="1">IF(ISERROR($V11),"",OFFSET('Smelter Look-up'!$H$4,$V11-4,0))</f>
        <v>Akita City</v>
      </c>
      <c r="J11" s="219" t="str">
        <f ca="1">IF(ISERROR($V11),"",OFFSET('Smelter Look-up'!$I$4,$V11-4,0))</f>
        <v>Akita</v>
      </c>
      <c r="K11" s="273"/>
      <c r="L11" s="273"/>
      <c r="M11" s="273"/>
      <c r="N11" s="273"/>
      <c r="O11" s="273"/>
      <c r="P11" s="220"/>
      <c r="Q11" s="274"/>
      <c r="R11" s="217" t="str">
        <f ca="1">IF(ISERROR($V11),"",OFFSET('Smelter Look-up'!$C$4,$V11-4,0)&amp;"")</f>
        <v>Japan New Metals Co., Ltd.</v>
      </c>
      <c r="S11" s="225" t="str">
        <f t="shared" ca="1" si="3"/>
        <v>JP</v>
      </c>
      <c r="T11" s="225" t="str">
        <f ca="1">IF(B11="","",IF(ISERROR(MATCH($J11,SorP!$B$1:$B$6230,0)),"",INDIRECT("'SorP'!$A$"&amp;MATCH($J11,SorP!$B$1:$B$6230,0))))</f>
        <v>JP-05</v>
      </c>
      <c r="U11" s="241"/>
      <c r="V11" s="275">
        <f ca="1">IF(C11="",NA(),MATCH($B11&amp;$C11,'Smelter Look-up'!$J:$J,0))</f>
        <v>525</v>
      </c>
      <c r="W11" s="276"/>
      <c r="X11" s="276">
        <f t="shared" ca="1" si="4"/>
        <v>0</v>
      </c>
      <c r="Y11" s="276"/>
      <c r="Z11" s="276"/>
      <c r="AB11" s="278" t="str">
        <f t="shared" ca="1" si="5"/>
        <v>TungstenJapan New Metals Co., Ltd.</v>
      </c>
    </row>
    <row r="12" spans="1:34" s="277" customFormat="1" ht="20.100000000000001" customHeight="1">
      <c r="A12" s="351" t="s">
        <v>776</v>
      </c>
      <c r="B12" s="217" t="str">
        <f ca="1">IF(LEN(A12)=0,"",INDEX('Smelter Look-up'!$A:$A,MATCH($A12,'Smelter Look-up'!$E:$E,0)))</f>
        <v>Tantalum</v>
      </c>
      <c r="C12" s="221" t="str">
        <f ca="1">IF(LEN(A12)=0,"",INDEX('Smelter Look-up'!$C:$C,MATCH($A12,'Smelter Look-up'!$E:$E,0)))</f>
        <v>Ningxia Orient Tantalum Industry Co., Ltd.</v>
      </c>
      <c r="D12" s="221" t="s">
        <v>1053</v>
      </c>
      <c r="E12" s="217" t="str">
        <f ca="1">IF(ISERROR($V12),"",OFFSET('Smelter Look-up'!$D$4,$V12-4,0)&amp;"")</f>
        <v>CHINA</v>
      </c>
      <c r="F12" s="217" t="str">
        <f ca="1">IF(ISERROR($V12),"",OFFSET('Smelter Look-up'!$E$4,$V12-4,0))</f>
        <v>CID001277</v>
      </c>
      <c r="G12" s="217" t="str">
        <f ca="1">IF(C12=$X$4,"Enter smelter details",IF(ISERROR($V12),"",OFFSET('Smelter Look-up'!$F$4,$V12-4,0)))</f>
        <v>RMI</v>
      </c>
      <c r="H12" s="218">
        <f ca="1">IF(ISERROR($V12),"",OFFSET('Smelter Look-up'!$G$4,$V12-4,0))</f>
        <v>0</v>
      </c>
      <c r="I12" s="219" t="str">
        <f ca="1">IF(ISERROR($V12),"",OFFSET('Smelter Look-up'!$H$4,$V12-4,0))</f>
        <v>Shizuishan City</v>
      </c>
      <c r="J12" s="219" t="str">
        <f ca="1">IF(ISERROR($V12),"",OFFSET('Smelter Look-up'!$I$4,$V12-4,0))</f>
        <v>Ningxia Huizi Zizhiqu</v>
      </c>
      <c r="K12" s="273"/>
      <c r="L12" s="273"/>
      <c r="M12" s="273"/>
      <c r="N12" s="273"/>
      <c r="O12" s="273"/>
      <c r="P12" s="220"/>
      <c r="Q12" s="274"/>
      <c r="R12" s="217" t="str">
        <f ca="1">IF(ISERROR($V12),"",OFFSET('Smelter Look-up'!$C$4,$V12-4,0)&amp;"")</f>
        <v>Ningxia Orient Tantalum Industry Co., Ltd.</v>
      </c>
      <c r="S12" s="225" t="str">
        <f t="shared" ca="1" si="3"/>
        <v>CN</v>
      </c>
      <c r="T12" s="225" t="str">
        <f ca="1">IF(B12="","",IF(ISERROR(MATCH($J12,SorP!$B$1:$B$6230,0)),"",INDIRECT("'SorP'!$A$"&amp;MATCH($J12,SorP!$B$1:$B$6230,0))))</f>
        <v>CN-NX</v>
      </c>
      <c r="U12" s="241"/>
      <c r="V12" s="275">
        <f ca="1">IF(C12="",NA(),MATCH($B12&amp;$C12,'Smelter Look-up'!$J:$J,0))</f>
        <v>331</v>
      </c>
      <c r="W12" s="276"/>
      <c r="X12" s="276">
        <f t="shared" ca="1" si="4"/>
        <v>0</v>
      </c>
      <c r="Y12" s="276"/>
      <c r="Z12" s="276"/>
      <c r="AB12" s="278" t="str">
        <f t="shared" ca="1" si="5"/>
        <v>TantalumNingxia Orient Tantalum Industry Co., Ltd.</v>
      </c>
    </row>
    <row r="13" spans="1:34" s="277" customFormat="1" ht="20.100000000000001" customHeight="1">
      <c r="A13" s="332" t="s">
        <v>764</v>
      </c>
      <c r="B13" s="217" t="str">
        <f ca="1">IF(LEN(A13)=0,"",INDEX('Smelter Look-up'!$A:$A,MATCH($A13,'Smelter Look-up'!$E:$E,0)))</f>
        <v>Tantalum</v>
      </c>
      <c r="C13" s="221" t="str">
        <f ca="1">IF(LEN(A13)=0,"",INDEX('Smelter Look-up'!$C:$C,MATCH($A13,'Smelter Look-up'!$E:$E,0)))</f>
        <v>Changsha South Tantalum Niobium Co., Ltd.</v>
      </c>
      <c r="D13" s="221" t="s">
        <v>3</v>
      </c>
      <c r="E13" s="217" t="str">
        <f ca="1">IF(ISERROR($V13),"",OFFSET('Smelter Look-up'!$D$4,$V13-4,0)&amp;"")</f>
        <v>CHINA</v>
      </c>
      <c r="F13" s="217" t="str">
        <f ca="1">IF(ISERROR($V13),"",OFFSET('Smelter Look-up'!$E$4,$V13-4,0))</f>
        <v>CID000211</v>
      </c>
      <c r="G13" s="217" t="str">
        <f ca="1">IF(C13=$X$4,"Enter smelter details",IF(ISERROR($V13),"",OFFSET('Smelter Look-up'!$F$4,$V13-4,0)))</f>
        <v>RMI</v>
      </c>
      <c r="H13" s="218">
        <f ca="1">IF(ISERROR($V13),"",OFFSET('Smelter Look-up'!$G$4,$V13-4,0))</f>
        <v>0</v>
      </c>
      <c r="I13" s="219" t="str">
        <f ca="1">IF(ISERROR($V13),"",OFFSET('Smelter Look-up'!$H$4,$V13-4,0))</f>
        <v>Changsha</v>
      </c>
      <c r="J13" s="219" t="str">
        <f ca="1">IF(ISERROR($V13),"",OFFSET('Smelter Look-up'!$I$4,$V13-4,0))</f>
        <v>Hunan Sheng</v>
      </c>
      <c r="K13" s="273"/>
      <c r="L13" s="273"/>
      <c r="M13" s="273"/>
      <c r="N13" s="273"/>
      <c r="O13" s="273"/>
      <c r="P13" s="220"/>
      <c r="Q13" s="274"/>
      <c r="R13" s="217" t="str">
        <f ca="1">IF(ISERROR($V13),"",OFFSET('Smelter Look-up'!$C$4,$V13-4,0)&amp;"")</f>
        <v>Changsha South Tantalum Niobium Co., Ltd.</v>
      </c>
      <c r="S13" s="225" t="str">
        <f t="shared" ca="1" si="3"/>
        <v>CN</v>
      </c>
      <c r="T13" s="225" t="str">
        <f ca="1">IF(B13="","",IF(ISERROR(MATCH($J13,SorP!$B$1:$B$6230,0)),"",INDIRECT("'SorP'!$A$"&amp;MATCH($J13,SorP!$B$1:$B$6230,0))))</f>
        <v>CN-HN</v>
      </c>
      <c r="U13" s="241"/>
      <c r="V13" s="275">
        <f ca="1">IF(C13="",NA(),MATCH($B13&amp;$C13,'Smelter Look-up'!$J:$J,0))</f>
        <v>296</v>
      </c>
      <c r="W13" s="276"/>
      <c r="X13" s="276">
        <f t="shared" ca="1" si="4"/>
        <v>0</v>
      </c>
      <c r="Y13" s="276"/>
      <c r="Z13" s="276"/>
      <c r="AB13" s="278" t="str">
        <f t="shared" ca="1" si="5"/>
        <v>TantalumChangsha South Tantalum Niobium Co., Ltd.</v>
      </c>
    </row>
    <row r="14" spans="1:34" s="277" customFormat="1" ht="20.100000000000001" customHeight="1">
      <c r="A14" s="332" t="s">
        <v>772</v>
      </c>
      <c r="B14" s="217" t="str">
        <f ca="1">IF(LEN(A14)=0,"",INDEX('Smelter Look-up'!$A:$A,MATCH($A14,'Smelter Look-up'!$E:$E,0)))</f>
        <v>Tantalum</v>
      </c>
      <c r="C14" s="221" t="str">
        <f ca="1">IF(LEN(A14)=0,"",INDEX('Smelter Look-up'!$C:$C,MATCH($A14,'Smelter Look-up'!$E:$E,0)))</f>
        <v>Metallurgical Products India Pvt., Ltd.</v>
      </c>
      <c r="D14" s="221" t="s">
        <v>2257</v>
      </c>
      <c r="E14" s="217" t="str">
        <f ca="1">IF(ISERROR($V14),"",OFFSET('Smelter Look-up'!$D$4,$V14-4,0)&amp;"")</f>
        <v>INDIA</v>
      </c>
      <c r="F14" s="217" t="str">
        <f ca="1">IF(ISERROR($V14),"",OFFSET('Smelter Look-up'!$E$4,$V14-4,0))</f>
        <v>CID001163</v>
      </c>
      <c r="G14" s="217" t="str">
        <f ca="1">IF(C14=$X$4,"Enter smelter details",IF(ISERROR($V14),"",OFFSET('Smelter Look-up'!$F$4,$V14-4,0)))</f>
        <v>RMI</v>
      </c>
      <c r="H14" s="218">
        <f ca="1">IF(ISERROR($V14),"",OFFSET('Smelter Look-up'!$G$4,$V14-4,0))</f>
        <v>0</v>
      </c>
      <c r="I14" s="219" t="str">
        <f ca="1">IF(ISERROR($V14),"",OFFSET('Smelter Look-up'!$H$4,$V14-4,0))</f>
        <v>District Raigad</v>
      </c>
      <c r="J14" s="219" t="str">
        <f ca="1">IF(ISERROR($V14),"",OFFSET('Smelter Look-up'!$I$4,$V14-4,0))</f>
        <v>Maharashtra</v>
      </c>
      <c r="K14" s="273"/>
      <c r="L14" s="273"/>
      <c r="M14" s="273"/>
      <c r="N14" s="273"/>
      <c r="O14" s="273"/>
      <c r="P14" s="220"/>
      <c r="Q14" s="274"/>
      <c r="R14" s="217" t="str">
        <f ca="1">IF(ISERROR($V14),"",OFFSET('Smelter Look-up'!$C$4,$V14-4,0)&amp;"")</f>
        <v>Metallurgical Products India Pvt., Ltd.</v>
      </c>
      <c r="S14" s="225" t="str">
        <f t="shared" ca="1" si="3"/>
        <v>IN</v>
      </c>
      <c r="T14" s="225" t="str">
        <f ca="1">IF(B14="","",IF(ISERROR(MATCH($J14,SorP!$B$1:$B$6230,0)),"",INDIRECT("'SorP'!$A$"&amp;MATCH($J14,SorP!$B$1:$B$6230,0))))</f>
        <v>IN-MH</v>
      </c>
      <c r="U14" s="241"/>
      <c r="V14" s="275">
        <f ca="1">IF(C14="",NA(),MATCH($B14&amp;$C14,'Smelter Look-up'!$J:$J,0))</f>
        <v>323</v>
      </c>
      <c r="W14" s="276"/>
      <c r="X14" s="276">
        <f t="shared" ca="1" si="4"/>
        <v>0</v>
      </c>
      <c r="Y14" s="276"/>
      <c r="Z14" s="276"/>
      <c r="AB14" s="278" t="str">
        <f t="shared" ca="1" si="5"/>
        <v>TantalumMetallurgical Products India Pvt., Ltd.</v>
      </c>
    </row>
    <row r="15" spans="1:34" s="277" customFormat="1" ht="20.100000000000001" customHeight="1">
      <c r="A15" s="332" t="s">
        <v>1435</v>
      </c>
      <c r="B15" s="217" t="str">
        <f ca="1">IF(LEN(A15)=0,"",INDEX('Smelter Look-up'!$A:$A,MATCH($A15,'Smelter Look-up'!$E:$E,0)))</f>
        <v>Tantalum</v>
      </c>
      <c r="C15" s="221" t="str">
        <f ca="1">IF(LEN(A15)=0,"",INDEX('Smelter Look-up'!$C:$C,MATCH($A15,'Smelter Look-up'!$E:$E,0)))</f>
        <v>Global Advanced Metals Aizu</v>
      </c>
      <c r="D15" s="221" t="s">
        <v>1434</v>
      </c>
      <c r="E15" s="217" t="str">
        <f ca="1">IF(ISERROR($V15),"",OFFSET('Smelter Look-up'!$D$4,$V15-4,0)&amp;"")</f>
        <v>JAPAN</v>
      </c>
      <c r="F15" s="217" t="str">
        <f ca="1">IF(ISERROR($V15),"",OFFSET('Smelter Look-up'!$E$4,$V15-4,0))</f>
        <v>CID002558</v>
      </c>
      <c r="G15" s="217" t="str">
        <f ca="1">IF(C15=$X$4,"Enter smelter details",IF(ISERROR($V15),"",OFFSET('Smelter Look-up'!$F$4,$V15-4,0)))</f>
        <v>RMI</v>
      </c>
      <c r="H15" s="218">
        <f ca="1">IF(ISERROR($V15),"",OFFSET('Smelter Look-up'!$G$4,$V15-4,0))</f>
        <v>0</v>
      </c>
      <c r="I15" s="219" t="str">
        <f ca="1">IF(ISERROR($V15),"",OFFSET('Smelter Look-up'!$H$4,$V15-4,0))</f>
        <v>Aizuwakamatsu</v>
      </c>
      <c r="J15" s="219" t="str">
        <f ca="1">IF(ISERROR($V15),"",OFFSET('Smelter Look-up'!$I$4,$V15-4,0))</f>
        <v>Fukushima</v>
      </c>
      <c r="K15" s="273"/>
      <c r="L15" s="273"/>
      <c r="M15" s="273"/>
      <c r="N15" s="273"/>
      <c r="O15" s="273"/>
      <c r="P15" s="220"/>
      <c r="Q15" s="274"/>
      <c r="R15" s="217" t="str">
        <f ca="1">IF(ISERROR($V15),"",OFFSET('Smelter Look-up'!$C$4,$V15-4,0)&amp;"")</f>
        <v>Global Advanced Metals Aizu</v>
      </c>
      <c r="S15" s="225" t="str">
        <f t="shared" ca="1" si="3"/>
        <v>JP</v>
      </c>
      <c r="T15" s="225" t="str">
        <f ca="1">IF(B15="","",IF(ISERROR(MATCH($J15,SorP!$B$1:$B$6230,0)),"",INDIRECT("'SorP'!$A$"&amp;MATCH($J15,SorP!$B$1:$B$6230,0))))</f>
        <v>JP-07</v>
      </c>
      <c r="U15" s="241"/>
      <c r="V15" s="275">
        <f ca="1">IF(C15="",NA(),MATCH($B15&amp;$C15,'Smelter Look-up'!$J:$J,0))</f>
        <v>304</v>
      </c>
      <c r="W15" s="276"/>
      <c r="X15" s="276">
        <f t="shared" ca="1" si="4"/>
        <v>0</v>
      </c>
      <c r="Y15" s="276"/>
      <c r="Z15" s="276"/>
      <c r="AB15" s="278" t="str">
        <f t="shared" ca="1" si="5"/>
        <v>TantalumGlobal Advanced Metals Aizu</v>
      </c>
    </row>
    <row r="16" spans="1:34" s="277" customFormat="1" ht="20.100000000000001" customHeight="1">
      <c r="A16" s="332" t="s">
        <v>1439</v>
      </c>
      <c r="B16" s="217" t="str">
        <f ca="1">IF(LEN(A16)=0,"",INDEX('Smelter Look-up'!$A:$A,MATCH($A16,'Smelter Look-up'!$E:$E,0)))</f>
        <v>Tantalum</v>
      </c>
      <c r="C16" s="221" t="str">
        <f ca="1">IF(LEN(A16)=0,"",INDEX('Smelter Look-up'!$C:$C,MATCH($A16,'Smelter Look-up'!$E:$E,0)))</f>
        <v>H.C. Starck Co., Ltd.</v>
      </c>
      <c r="D16" s="221" t="s">
        <v>1438</v>
      </c>
      <c r="E16" s="217" t="str">
        <f ca="1">IF(ISERROR($V16),"",OFFSET('Smelter Look-up'!$D$4,$V16-4,0)&amp;"")</f>
        <v>THAILAND</v>
      </c>
      <c r="F16" s="217" t="str">
        <f ca="1">IF(ISERROR($V16),"",OFFSET('Smelter Look-up'!$E$4,$V16-4,0))</f>
        <v>CID002544</v>
      </c>
      <c r="G16" s="217" t="str">
        <f ca="1">IF(C16=$X$4,"Enter smelter details",IF(ISERROR($V16),"",OFFSET('Smelter Look-up'!$F$4,$V16-4,0)))</f>
        <v>RMI</v>
      </c>
      <c r="H16" s="218">
        <f ca="1">IF(ISERROR($V16),"",OFFSET('Smelter Look-up'!$G$4,$V16-4,0))</f>
        <v>0</v>
      </c>
      <c r="I16" s="219" t="str">
        <f ca="1">IF(ISERROR($V16),"",OFFSET('Smelter Look-up'!$H$4,$V16-4,0))</f>
        <v>Map Ta Phut</v>
      </c>
      <c r="J16" s="219" t="str">
        <f ca="1">IF(ISERROR($V16),"",OFFSET('Smelter Look-up'!$I$4,$V16-4,0))</f>
        <v>Rayong</v>
      </c>
      <c r="K16" s="273"/>
      <c r="L16" s="273"/>
      <c r="M16" s="273"/>
      <c r="N16" s="273"/>
      <c r="O16" s="273"/>
      <c r="P16" s="220"/>
      <c r="Q16" s="274"/>
      <c r="R16" s="217" t="str">
        <f ca="1">IF(ISERROR($V16),"",OFFSET('Smelter Look-up'!$C$4,$V16-4,0)&amp;"")</f>
        <v>H.C. Starck Co., Ltd.</v>
      </c>
      <c r="S16" s="225" t="str">
        <f t="shared" ca="1" si="3"/>
        <v>TH</v>
      </c>
      <c r="T16" s="225" t="str">
        <f ca="1">IF(B16="","",IF(ISERROR(MATCH($J16,SorP!$B$1:$B$6230,0)),"",INDIRECT("'SorP'!$A$"&amp;MATCH($J16,SorP!$B$1:$B$6230,0))))</f>
        <v>TH-21</v>
      </c>
      <c r="U16" s="241"/>
      <c r="V16" s="275">
        <f ca="1">IF(C16="",NA(),MATCH($B16&amp;$C16,'Smelter Look-up'!$J:$J,0))</f>
        <v>307</v>
      </c>
      <c r="W16" s="276"/>
      <c r="X16" s="276">
        <f t="shared" ca="1" si="4"/>
        <v>0</v>
      </c>
      <c r="Y16" s="276"/>
      <c r="Z16" s="276"/>
      <c r="AB16" s="278" t="str">
        <f t="shared" ca="1" si="5"/>
        <v>TantalumH.C. Starck Co., Ltd.</v>
      </c>
    </row>
    <row r="17" spans="1:28" s="277" customFormat="1" ht="20.100000000000001" customHeight="1">
      <c r="A17" s="332" t="s">
        <v>1440</v>
      </c>
      <c r="B17" s="217" t="str">
        <f ca="1">IF(LEN(A17)=0,"",INDEX('Smelter Look-up'!$A:$A,MATCH($A17,'Smelter Look-up'!$E:$E,0)))</f>
        <v>Tantalum</v>
      </c>
      <c r="C17" s="221" t="str">
        <f ca="1">IF(LEN(A17)=0,"",INDEX('Smelter Look-up'!$C:$C,MATCH($A17,'Smelter Look-up'!$E:$E,0)))</f>
        <v>H.C. Starck Tantalum and Niobium GmbH</v>
      </c>
      <c r="D17" s="221" t="s">
        <v>2673</v>
      </c>
      <c r="E17" s="217" t="str">
        <f ca="1">IF(ISERROR($V17),"",OFFSET('Smelter Look-up'!$D$4,$V17-4,0)&amp;"")</f>
        <v>GERMANY</v>
      </c>
      <c r="F17" s="217" t="str">
        <f ca="1">IF(ISERROR($V17),"",OFFSET('Smelter Look-up'!$E$4,$V17-4,0))</f>
        <v>CID002545</v>
      </c>
      <c r="G17" s="217" t="str">
        <f ca="1">IF(C17=$X$4,"Enter smelter details",IF(ISERROR($V17),"",OFFSET('Smelter Look-up'!$F$4,$V17-4,0)))</f>
        <v>RMI</v>
      </c>
      <c r="H17" s="218">
        <f ca="1">IF(ISERROR($V17),"",OFFSET('Smelter Look-up'!$G$4,$V17-4,0))</f>
        <v>0</v>
      </c>
      <c r="I17" s="219" t="str">
        <f ca="1">IF(ISERROR($V17),"",OFFSET('Smelter Look-up'!$H$4,$V17-4,0))</f>
        <v>Goslar</v>
      </c>
      <c r="J17" s="219" t="str">
        <f ca="1">IF(ISERROR($V17),"",OFFSET('Smelter Look-up'!$I$4,$V17-4,0))</f>
        <v>Niedersachsen</v>
      </c>
      <c r="K17" s="273"/>
      <c r="L17" s="273"/>
      <c r="M17" s="273"/>
      <c r="N17" s="273"/>
      <c r="O17" s="273"/>
      <c r="P17" s="220"/>
      <c r="Q17" s="274"/>
      <c r="R17" s="217" t="str">
        <f ca="1">IF(ISERROR($V17),"",OFFSET('Smelter Look-up'!$C$4,$V17-4,0)&amp;"")</f>
        <v>H.C. Starck Tantalum and Niobium GmbH</v>
      </c>
      <c r="S17" s="225" t="str">
        <f t="shared" ca="1" si="3"/>
        <v>DE</v>
      </c>
      <c r="T17" s="225" t="str">
        <f ca="1">IF(B17="","",IF(ISERROR(MATCH($J17,SorP!$B$1:$B$6230,0)),"",INDIRECT("'SorP'!$A$"&amp;MATCH($J17,SorP!$B$1:$B$6230,0))))</f>
        <v>DE-NI</v>
      </c>
      <c r="U17" s="241"/>
      <c r="V17" s="275">
        <f ca="1">IF(C17="",NA(),MATCH($B17&amp;$C17,'Smelter Look-up'!$J:$J,0))</f>
        <v>312</v>
      </c>
      <c r="W17" s="276"/>
      <c r="X17" s="276">
        <f t="shared" ca="1" si="4"/>
        <v>0</v>
      </c>
      <c r="Y17" s="276"/>
      <c r="Z17" s="276"/>
      <c r="AB17" s="278" t="str">
        <f t="shared" ca="1" si="5"/>
        <v>TantalumH.C. Starck Tantalum and Niobium GmbH</v>
      </c>
    </row>
    <row r="18" spans="1:28" s="277" customFormat="1" ht="20.100000000000001" customHeight="1">
      <c r="A18" s="216" t="s">
        <v>1444</v>
      </c>
      <c r="B18" s="217" t="str">
        <f ca="1">IF(LEN(A18)=0,"",INDEX('Smelter Look-up'!$A:$A,MATCH($A18,'Smelter Look-up'!$E:$E,0)))</f>
        <v>Tantalum</v>
      </c>
      <c r="C18" s="221" t="str">
        <f ca="1">IF(LEN(A18)=0,"",INDEX('Smelter Look-up'!$C:$C,MATCH($A18,'Smelter Look-up'!$E:$E,0)))</f>
        <v>H.C. Starck Inc.</v>
      </c>
      <c r="D18" s="221" t="s">
        <v>1443</v>
      </c>
      <c r="E18" s="217" t="str">
        <f ca="1">IF(ISERROR($V18),"",OFFSET('Smelter Look-up'!$D$4,$V18-4,0)&amp;"")</f>
        <v>UNITED STATES OF AMERICA</v>
      </c>
      <c r="F18" s="217" t="str">
        <f ca="1">IF(ISERROR($V18),"",OFFSET('Smelter Look-up'!$E$4,$V18-4,0))</f>
        <v>CID002548</v>
      </c>
      <c r="G18" s="217" t="str">
        <f ca="1">IF(C18=$X$4,"Enter smelter details",IF(ISERROR($V18),"",OFFSET('Smelter Look-up'!$F$4,$V18-4,0)))</f>
        <v>RMI</v>
      </c>
      <c r="H18" s="218">
        <f ca="1">IF(ISERROR($V18),"",OFFSET('Smelter Look-up'!$G$4,$V18-4,0))</f>
        <v>0</v>
      </c>
      <c r="I18" s="219" t="str">
        <f ca="1">IF(ISERROR($V18),"",OFFSET('Smelter Look-up'!$H$4,$V18-4,0))</f>
        <v>Newton</v>
      </c>
      <c r="J18" s="219" t="str">
        <f ca="1">IF(ISERROR($V18),"",OFFSET('Smelter Look-up'!$I$4,$V18-4,0))</f>
        <v>Massachusetts</v>
      </c>
      <c r="K18" s="273"/>
      <c r="L18" s="273"/>
      <c r="M18" s="273"/>
      <c r="N18" s="273"/>
      <c r="O18" s="273"/>
      <c r="P18" s="220"/>
      <c r="Q18" s="274"/>
      <c r="R18" s="217" t="str">
        <f ca="1">IF(ISERROR($V18),"",OFFSET('Smelter Look-up'!$C$4,$V18-4,0)&amp;"")</f>
        <v>H.C. Starck Inc.</v>
      </c>
      <c r="S18" s="225" t="str">
        <f t="shared" ca="1" si="3"/>
        <v>US</v>
      </c>
      <c r="T18" s="225" t="str">
        <f ca="1">IF(B18="","",IF(ISERROR(MATCH($J18,SorP!$B$1:$B$6230,0)),"",INDIRECT("'SorP'!$A$"&amp;MATCH($J18,SorP!$B$1:$B$6230,0))))</f>
        <v>US-MA</v>
      </c>
      <c r="U18" s="241"/>
      <c r="V18" s="275">
        <f ca="1">IF(C18="",NA(),MATCH($B18&amp;$C18,'Smelter Look-up'!$J:$J,0))</f>
        <v>309</v>
      </c>
      <c r="W18" s="276"/>
      <c r="X18" s="276">
        <f t="shared" ca="1" si="4"/>
        <v>0</v>
      </c>
      <c r="Y18" s="276"/>
      <c r="Z18" s="276"/>
      <c r="AB18" s="278" t="str">
        <f t="shared" ca="1" si="5"/>
        <v>TantalumH.C. Starck Inc.</v>
      </c>
    </row>
    <row r="19" spans="1:28" s="277" customFormat="1" ht="38.25">
      <c r="A19" s="216" t="s">
        <v>765</v>
      </c>
      <c r="B19" s="217" t="str">
        <f ca="1">IF(LEN(A19)=0,"",INDEX('Smelter Look-up'!$A:$A,MATCH($A19,'Smelter Look-up'!$E:$E,0)))</f>
        <v>Tantalum</v>
      </c>
      <c r="C19" s="221" t="str">
        <f ca="1">IF(LEN(A19)=0,"",INDEX('Smelter Look-up'!$C:$C,MATCH($A19,'Smelter Look-up'!$E:$E,0)))</f>
        <v>Exotech Inc.</v>
      </c>
      <c r="D19" s="221" t="s">
        <v>1141</v>
      </c>
      <c r="E19" s="217" t="str">
        <f ca="1">IF(ISERROR($V19),"",OFFSET('Smelter Look-up'!$D$4,$V19-4,0)&amp;"")</f>
        <v>UNITED STATES OF AMERICA</v>
      </c>
      <c r="F19" s="217" t="str">
        <f ca="1">IF(ISERROR($V19),"",OFFSET('Smelter Look-up'!$E$4,$V19-4,0))</f>
        <v>CID000456</v>
      </c>
      <c r="G19" s="217" t="str">
        <f ca="1">IF(C19=$X$4,"Enter smelter details",IF(ISERROR($V19),"",OFFSET('Smelter Look-up'!$F$4,$V19-4,0)))</f>
        <v>RMI</v>
      </c>
      <c r="H19" s="218">
        <f ca="1">IF(ISERROR($V19),"",OFFSET('Smelter Look-up'!$G$4,$V19-4,0))</f>
        <v>0</v>
      </c>
      <c r="I19" s="219" t="str">
        <f ca="1">IF(ISERROR($V19),"",OFFSET('Smelter Look-up'!$H$4,$V19-4,0))</f>
        <v>Pompano Beach</v>
      </c>
      <c r="J19" s="219" t="str">
        <f ca="1">IF(ISERROR($V19),"",OFFSET('Smelter Look-up'!$I$4,$V19-4,0))</f>
        <v>Florida</v>
      </c>
      <c r="K19" s="273"/>
      <c r="L19" s="273"/>
      <c r="M19" s="273"/>
      <c r="N19" s="273"/>
      <c r="O19" s="273"/>
      <c r="P19" s="220"/>
      <c r="Q19" s="274"/>
      <c r="R19" s="217" t="str">
        <f ca="1">IF(ISERROR($V19),"",OFFSET('Smelter Look-up'!$C$4,$V19-4,0)&amp;"")</f>
        <v>Exotech Inc.</v>
      </c>
      <c r="S19" s="225" t="str">
        <f t="shared" ca="1" si="3"/>
        <v>US</v>
      </c>
      <c r="T19" s="225" t="str">
        <f ca="1">IF(B19="","",IF(ISERROR(MATCH($J19,SorP!$B$1:$B$6230,0)),"",INDIRECT("'SorP'!$A$"&amp;MATCH($J19,SorP!$B$1:$B$6230,0))))</f>
        <v>US-FL</v>
      </c>
      <c r="U19" s="241"/>
      <c r="V19" s="275">
        <f ca="1">IF(C19="",NA(),MATCH($B19&amp;$C19,'Smelter Look-up'!$J:$J,0))</f>
        <v>300</v>
      </c>
      <c r="W19" s="276"/>
      <c r="X19" s="276">
        <f t="shared" ca="1" si="4"/>
        <v>0</v>
      </c>
      <c r="Y19" s="276"/>
      <c r="Z19" s="276"/>
      <c r="AB19" s="278" t="str">
        <f t="shared" ca="1" si="5"/>
        <v>TantalumExotech Inc.</v>
      </c>
    </row>
    <row r="20" spans="1:28" s="277" customFormat="1" ht="63.75">
      <c r="A20" s="216" t="s">
        <v>1419</v>
      </c>
      <c r="B20" s="217" t="str">
        <f ca="1">IF(LEN(A20)=0,"",INDEX('Smelter Look-up'!$A:$A,MATCH($A20,'Smelter Look-up'!$E:$E,0)))</f>
        <v>Tantalum</v>
      </c>
      <c r="C20" s="221" t="str">
        <f ca="1">IF(LEN(A20)=0,"",INDEX('Smelter Look-up'!$C:$C,MATCH($A20,'Smelter Look-up'!$E:$E,0)))</f>
        <v>D Block Metals, LLC</v>
      </c>
      <c r="D20" s="221" t="s">
        <v>1418</v>
      </c>
      <c r="E20" s="217" t="str">
        <f ca="1">IF(ISERROR($V20),"",OFFSET('Smelter Look-up'!$D$4,$V20-4,0)&amp;"")</f>
        <v>UNITED STATES OF AMERICA</v>
      </c>
      <c r="F20" s="217" t="str">
        <f ca="1">IF(ISERROR($V20),"",OFFSET('Smelter Look-up'!$E$4,$V20-4,0))</f>
        <v>CID002504</v>
      </c>
      <c r="G20" s="217" t="str">
        <f ca="1">IF(C20=$X$4,"Enter smelter details",IF(ISERROR($V20),"",OFFSET('Smelter Look-up'!$F$4,$V20-4,0)))</f>
        <v>RMI</v>
      </c>
      <c r="H20" s="218">
        <f ca="1">IF(ISERROR($V20),"",OFFSET('Smelter Look-up'!$G$4,$V20-4,0))</f>
        <v>0</v>
      </c>
      <c r="I20" s="219" t="str">
        <f ca="1">IF(ISERROR($V20),"",OFFSET('Smelter Look-up'!$H$4,$V20-4,0))</f>
        <v>Gastonia</v>
      </c>
      <c r="J20" s="219" t="str">
        <f ca="1">IF(ISERROR($V20),"",OFFSET('Smelter Look-up'!$I$4,$V20-4,0))</f>
        <v>North Carolina</v>
      </c>
      <c r="K20" s="273"/>
      <c r="L20" s="273"/>
      <c r="M20" s="273"/>
      <c r="N20" s="273"/>
      <c r="O20" s="273"/>
      <c r="P20" s="220"/>
      <c r="Q20" s="274"/>
      <c r="R20" s="217" t="str">
        <f ca="1">IF(ISERROR($V20),"",OFFSET('Smelter Look-up'!$C$4,$V20-4,0)&amp;"")</f>
        <v>D Block Metals, LLC</v>
      </c>
      <c r="S20" s="225" t="str">
        <f t="shared" ca="1" si="3"/>
        <v>US</v>
      </c>
      <c r="T20" s="225" t="str">
        <f ca="1">IF(B20="","",IF(ISERROR(MATCH($J20,SorP!$B$1:$B$6230,0)),"",INDIRECT("'SorP'!$A$"&amp;MATCH($J20,SorP!$B$1:$B$6230,0))))</f>
        <v>US-NC</v>
      </c>
      <c r="U20" s="241"/>
      <c r="V20" s="275">
        <f ca="1">IF(C20="",NA(),MATCH($B20&amp;$C20,'Smelter Look-up'!$J:$J,0))</f>
        <v>299</v>
      </c>
      <c r="W20" s="276"/>
      <c r="X20" s="276">
        <f t="shared" ca="1" si="4"/>
        <v>0</v>
      </c>
      <c r="Y20" s="276"/>
      <c r="Z20" s="276"/>
      <c r="AB20" s="278" t="str">
        <f t="shared" ca="1" si="5"/>
        <v>TantalumD Block Metals, LLC</v>
      </c>
    </row>
    <row r="21" spans="1:28" s="277" customFormat="1" ht="76.5">
      <c r="A21" s="216" t="s">
        <v>1420</v>
      </c>
      <c r="B21" s="217" t="str">
        <f ca="1">IF(LEN(A21)=0,"",INDEX('Smelter Look-up'!$A:$A,MATCH($A21,'Smelter Look-up'!$E:$E,0)))</f>
        <v>Tantalum</v>
      </c>
      <c r="C21" s="221" t="str">
        <f ca="1">IF(LEN(A21)=0,"",INDEX('Smelter Look-up'!$C:$C,MATCH($A21,'Smelter Look-up'!$E:$E,0)))</f>
        <v>FIR Metals &amp; Resource Ltd.</v>
      </c>
      <c r="D21" s="221" t="s">
        <v>2275</v>
      </c>
      <c r="E21" s="217" t="str">
        <f ca="1">IF(ISERROR($V21),"",OFFSET('Smelter Look-up'!$D$4,$V21-4,0)&amp;"")</f>
        <v>CHINA</v>
      </c>
      <c r="F21" s="217" t="str">
        <f ca="1">IF(ISERROR($V21),"",OFFSET('Smelter Look-up'!$E$4,$V21-4,0))</f>
        <v>CID002505</v>
      </c>
      <c r="G21" s="217" t="str">
        <f ca="1">IF(C21=$X$4,"Enter smelter details",IF(ISERROR($V21),"",OFFSET('Smelter Look-up'!$F$4,$V21-4,0)))</f>
        <v>RMI</v>
      </c>
      <c r="H21" s="218">
        <f ca="1">IF(ISERROR($V21),"",OFFSET('Smelter Look-up'!$G$4,$V21-4,0))</f>
        <v>0</v>
      </c>
      <c r="I21" s="219" t="str">
        <f ca="1">IF(ISERROR($V21),"",OFFSET('Smelter Look-up'!$H$4,$V21-4,0))</f>
        <v>Zhuzhou</v>
      </c>
      <c r="J21" s="219" t="str">
        <f ca="1">IF(ISERROR($V21),"",OFFSET('Smelter Look-up'!$I$4,$V21-4,0))</f>
        <v>Hunan Sheng</v>
      </c>
      <c r="K21" s="273"/>
      <c r="L21" s="273"/>
      <c r="M21" s="273"/>
      <c r="N21" s="273"/>
      <c r="O21" s="273"/>
      <c r="P21" s="220"/>
      <c r="Q21" s="274"/>
      <c r="R21" s="217" t="str">
        <f ca="1">IF(ISERROR($V21),"",OFFSET('Smelter Look-up'!$C$4,$V21-4,0)&amp;"")</f>
        <v>FIR Metals &amp; Resource Ltd.</v>
      </c>
      <c r="S21" s="225" t="str">
        <f t="shared" ca="1" si="3"/>
        <v>CN</v>
      </c>
      <c r="T21" s="225" t="str">
        <f ca="1">IF(B21="","",IF(ISERROR(MATCH($J21,SorP!$B$1:$B$6230,0)),"",INDIRECT("'SorP'!$A$"&amp;MATCH($J21,SorP!$B$1:$B$6230,0))))</f>
        <v>CN-HN</v>
      </c>
      <c r="U21" s="241"/>
      <c r="V21" s="275">
        <f ca="1">IF(C21="",NA(),MATCH($B21&amp;$C21,'Smelter Look-up'!$J:$J,0))</f>
        <v>303</v>
      </c>
      <c r="W21" s="276"/>
      <c r="X21" s="276">
        <f t="shared" ca="1" si="4"/>
        <v>0</v>
      </c>
      <c r="Y21" s="276"/>
      <c r="Z21" s="276"/>
      <c r="AB21" s="278" t="str">
        <f t="shared" ca="1" si="5"/>
        <v>TantalumFIR Metals &amp; Resource Ltd.</v>
      </c>
    </row>
    <row r="22" spans="1:28" s="277" customFormat="1" ht="51">
      <c r="A22" s="216" t="s">
        <v>1446</v>
      </c>
      <c r="B22" s="217" t="str">
        <f ca="1">IF(LEN(A22)=0,"",INDEX('Smelter Look-up'!$A:$A,MATCH($A22,'Smelter Look-up'!$E:$E,0)))</f>
        <v>Tantalum</v>
      </c>
      <c r="C22" s="221" t="str">
        <f ca="1">IF(LEN(A22)=0,"",INDEX('Smelter Look-up'!$C:$C,MATCH($A22,'Smelter Look-up'!$E:$E,0)))</f>
        <v>H.C. Starck Ltd.</v>
      </c>
      <c r="D22" s="221" t="s">
        <v>1445</v>
      </c>
      <c r="E22" s="217" t="str">
        <f ca="1">IF(ISERROR($V22),"",OFFSET('Smelter Look-up'!$D$4,$V22-4,0)&amp;"")</f>
        <v>JAPAN</v>
      </c>
      <c r="F22" s="217" t="str">
        <f ca="1">IF(ISERROR($V22),"",OFFSET('Smelter Look-up'!$E$4,$V22-4,0))</f>
        <v>CID002549</v>
      </c>
      <c r="G22" s="217" t="str">
        <f ca="1">IF(C22=$X$4,"Enter smelter details",IF(ISERROR($V22),"",OFFSET('Smelter Look-up'!$F$4,$V22-4,0)))</f>
        <v>RMI</v>
      </c>
      <c r="H22" s="218">
        <f ca="1">IF(ISERROR($V22),"",OFFSET('Smelter Look-up'!$G$4,$V22-4,0))</f>
        <v>0</v>
      </c>
      <c r="I22" s="219" t="str">
        <f ca="1">IF(ISERROR($V22),"",OFFSET('Smelter Look-up'!$H$4,$V22-4,0))</f>
        <v>Mito</v>
      </c>
      <c r="J22" s="219" t="str">
        <f ca="1">IF(ISERROR($V22),"",OFFSET('Smelter Look-up'!$I$4,$V22-4,0))</f>
        <v>Ibaraki</v>
      </c>
      <c r="K22" s="273"/>
      <c r="L22" s="273"/>
      <c r="M22" s="273"/>
      <c r="N22" s="273"/>
      <c r="O22" s="273"/>
      <c r="P22" s="220"/>
      <c r="Q22" s="274"/>
      <c r="R22" s="217" t="str">
        <f ca="1">IF(ISERROR($V22),"",OFFSET('Smelter Look-up'!$C$4,$V22-4,0)&amp;"")</f>
        <v>H.C. Starck Ltd.</v>
      </c>
      <c r="S22" s="225" t="str">
        <f t="shared" ca="1" si="3"/>
        <v>JP</v>
      </c>
      <c r="T22" s="225" t="str">
        <f ca="1">IF(B22="","",IF(ISERROR(MATCH($J22,SorP!$B$1:$B$6230,0)),"",INDIRECT("'SorP'!$A$"&amp;MATCH($J22,SorP!$B$1:$B$6230,0))))</f>
        <v>JP-08</v>
      </c>
      <c r="U22" s="241"/>
      <c r="V22" s="275">
        <f ca="1">IF(C22="",NA(),MATCH($B22&amp;$C22,'Smelter Look-up'!$J:$J,0))</f>
        <v>310</v>
      </c>
      <c r="W22" s="276"/>
      <c r="X22" s="276">
        <f t="shared" ca="1" si="4"/>
        <v>0</v>
      </c>
      <c r="Y22" s="276"/>
      <c r="Z22" s="276"/>
      <c r="AB22" s="278" t="str">
        <f t="shared" ca="1" si="5"/>
        <v>TantalumH.C. Starck Ltd.</v>
      </c>
    </row>
    <row r="23" spans="1:28" s="277" customFormat="1" ht="76.5">
      <c r="A23" s="216" t="s">
        <v>1447</v>
      </c>
      <c r="B23" s="217" t="str">
        <f ca="1">IF(LEN(A23)=0,"",INDEX('Smelter Look-up'!$A:$A,MATCH($A23,'Smelter Look-up'!$E:$E,0)))</f>
        <v>Tantalum</v>
      </c>
      <c r="C23" s="221" t="str">
        <f ca="1">IF(LEN(A23)=0,"",INDEX('Smelter Look-up'!$C:$C,MATCH($A23,'Smelter Look-up'!$E:$E,0)))</f>
        <v>H.C. Starck Smelting GmbH &amp; Co. KG</v>
      </c>
      <c r="D23" s="221" t="s">
        <v>2461</v>
      </c>
      <c r="E23" s="217" t="str">
        <f ca="1">IF(ISERROR($V23),"",OFFSET('Smelter Look-up'!$D$4,$V23-4,0)&amp;"")</f>
        <v>GERMANY</v>
      </c>
      <c r="F23" s="217" t="str">
        <f ca="1">IF(ISERROR($V23),"",OFFSET('Smelter Look-up'!$E$4,$V23-4,0))</f>
        <v>CID002550</v>
      </c>
      <c r="G23" s="217" t="str">
        <f ca="1">IF(C23=$X$4,"Enter smelter details",IF(ISERROR($V23),"",OFFSET('Smelter Look-up'!$F$4,$V23-4,0)))</f>
        <v>RMI</v>
      </c>
      <c r="H23" s="218">
        <f ca="1">IF(ISERROR($V23),"",OFFSET('Smelter Look-up'!$G$4,$V23-4,0))</f>
        <v>0</v>
      </c>
      <c r="I23" s="219" t="str">
        <f ca="1">IF(ISERROR($V23),"",OFFSET('Smelter Look-up'!$H$4,$V23-4,0))</f>
        <v>Laufenburg</v>
      </c>
      <c r="J23" s="219" t="str">
        <f ca="1">IF(ISERROR($V23),"",OFFSET('Smelter Look-up'!$I$4,$V23-4,0))</f>
        <v>Baden-Württemberg</v>
      </c>
      <c r="K23" s="273"/>
      <c r="L23" s="273"/>
      <c r="M23" s="273"/>
      <c r="N23" s="273"/>
      <c r="O23" s="273"/>
      <c r="P23" s="220"/>
      <c r="Q23" s="274"/>
      <c r="R23" s="217" t="str">
        <f ca="1">IF(ISERROR($V23),"",OFFSET('Smelter Look-up'!$C$4,$V23-4,0)&amp;"")</f>
        <v>H.C. Starck Smelting GmbH &amp; Co. KG</v>
      </c>
      <c r="S23" s="225" t="str">
        <f t="shared" ca="1" si="3"/>
        <v>DE</v>
      </c>
      <c r="T23" s="225" t="str">
        <f ca="1">IF(B23="","",IF(ISERROR(MATCH($J23,SorP!$B$1:$B$6230,0)),"",INDIRECT("'SorP'!$A$"&amp;MATCH($J23,SorP!$B$1:$B$6230,0))))</f>
        <v>DE-BW</v>
      </c>
      <c r="U23" s="241"/>
      <c r="V23" s="275">
        <f ca="1">IF(C23="",NA(),MATCH($B23&amp;$C23,'Smelter Look-up'!$J:$J,0))</f>
        <v>311</v>
      </c>
      <c r="W23" s="276"/>
      <c r="X23" s="276">
        <f t="shared" ca="1" si="4"/>
        <v>0</v>
      </c>
      <c r="Y23" s="276"/>
      <c r="Z23" s="276"/>
      <c r="AB23" s="278" t="str">
        <f t="shared" ca="1" si="5"/>
        <v>TantalumH.C. Starck Smelting GmbH &amp; Co. KG</v>
      </c>
    </row>
    <row r="24" spans="1:28" s="277" customFormat="1" ht="76.5">
      <c r="A24" s="216" t="s">
        <v>782</v>
      </c>
      <c r="B24" s="217" t="str">
        <f ca="1">IF(LEN(A24)=0,"",INDEX('Smelter Look-up'!$A:$A,MATCH($A24,'Smelter Look-up'!$E:$E,0)))</f>
        <v>Tantalum</v>
      </c>
      <c r="C24" s="221" t="str">
        <f ca="1">IF(LEN(A24)=0,"",INDEX('Smelter Look-up'!$C:$C,MATCH($A24,'Smelter Look-up'!$E:$E,0)))</f>
        <v>Ulba Metallurgical Plant JSC</v>
      </c>
      <c r="D24" s="221" t="s">
        <v>1775</v>
      </c>
      <c r="E24" s="217" t="str">
        <f ca="1">IF(ISERROR($V24),"",OFFSET('Smelter Look-up'!$D$4,$V24-4,0)&amp;"")</f>
        <v>KAZAKHSTAN</v>
      </c>
      <c r="F24" s="217" t="str">
        <f ca="1">IF(ISERROR($V24),"",OFFSET('Smelter Look-up'!$E$4,$V24-4,0))</f>
        <v>CID001969</v>
      </c>
      <c r="G24" s="217" t="str">
        <f ca="1">IF(C24=$X$4,"Enter smelter details",IF(ISERROR($V24),"",OFFSET('Smelter Look-up'!$F$4,$V24-4,0)))</f>
        <v>RMI</v>
      </c>
      <c r="H24" s="218">
        <f ca="1">IF(ISERROR($V24),"",OFFSET('Smelter Look-up'!$G$4,$V24-4,0))</f>
        <v>0</v>
      </c>
      <c r="I24" s="219" t="str">
        <f ca="1">IF(ISERROR($V24),"",OFFSET('Smelter Look-up'!$H$4,$V24-4,0))</f>
        <v>Ust-Kamenogorsk</v>
      </c>
      <c r="J24" s="219" t="str">
        <f ca="1">IF(ISERROR($V24),"",OFFSET('Smelter Look-up'!$I$4,$V24-4,0))</f>
        <v>Qaraghandy oblysy</v>
      </c>
      <c r="K24" s="273"/>
      <c r="L24" s="273"/>
      <c r="M24" s="273"/>
      <c r="N24" s="273"/>
      <c r="O24" s="273"/>
      <c r="P24" s="220"/>
      <c r="Q24" s="274"/>
      <c r="R24" s="217" t="str">
        <f ca="1">IF(ISERROR($V24),"",OFFSET('Smelter Look-up'!$C$4,$V24-4,0)&amp;"")</f>
        <v>Ulba Metallurgical Plant JSC</v>
      </c>
      <c r="S24" s="225" t="str">
        <f t="shared" ca="1" si="3"/>
        <v>KZ</v>
      </c>
      <c r="T24" s="225" t="str">
        <f ca="1">IF(B24="","",IF(ISERROR(MATCH($J24,SorP!$B$1:$B$6230,0)),"",INDIRECT("'SorP'!$A$"&amp;MATCH($J24,SorP!$B$1:$B$6230,0))))</f>
        <v>KZ-KAR</v>
      </c>
      <c r="U24" s="241"/>
      <c r="V24" s="275">
        <f ca="1">IF(C24="",NA(),MATCH($B24&amp;$C24,'Smelter Look-up'!$J:$J,0))</f>
        <v>349</v>
      </c>
      <c r="W24" s="276"/>
      <c r="X24" s="276">
        <f t="shared" ca="1" si="4"/>
        <v>0</v>
      </c>
      <c r="Y24" s="276"/>
      <c r="Z24" s="276"/>
      <c r="AB24" s="278" t="str">
        <f t="shared" ca="1" si="5"/>
        <v>TantalumUlba Metallurgical Plant JSC</v>
      </c>
    </row>
    <row r="25" spans="1:28" s="277" customFormat="1" ht="63.75">
      <c r="A25" s="216" t="s">
        <v>2672</v>
      </c>
      <c r="B25" s="217" t="str">
        <f ca="1">IF(LEN(A25)=0,"",INDEX('Smelter Look-up'!$A:$A,MATCH($A25,'Smelter Look-up'!$E:$E,0)))</f>
        <v>Tantalum</v>
      </c>
      <c r="C25" s="221" t="str">
        <f ca="1">IF(LEN(A25)=0,"",INDEX('Smelter Look-up'!$C:$C,MATCH($A25,'Smelter Look-up'!$E:$E,0)))</f>
        <v>Asaka Riken Co., Ltd.</v>
      </c>
      <c r="D25" s="283"/>
      <c r="E25" s="217" t="str">
        <f ca="1">IF(ISERROR($V25),"",OFFSET('Smelter Look-up'!$D$4,$V25-4,0)&amp;"")</f>
        <v>JAPAN</v>
      </c>
      <c r="F25" s="217" t="str">
        <f ca="1">IF(ISERROR($V25),"",OFFSET('Smelter Look-up'!$E$4,$V25-4,0))</f>
        <v>CID000092</v>
      </c>
      <c r="G25" s="217" t="str">
        <f ca="1">IF(C25=$X$4,"Enter smelter details",IF(ISERROR($V25),"",OFFSET('Smelter Look-up'!$F$4,$V25-4,0)))</f>
        <v>RMI</v>
      </c>
      <c r="H25" s="218">
        <f ca="1">IF(ISERROR($V25),"",OFFSET('Smelter Look-up'!$G$4,$V25-4,0))</f>
        <v>0</v>
      </c>
      <c r="I25" s="219" t="str">
        <f ca="1">IF(ISERROR($V25),"",OFFSET('Smelter Look-up'!$H$4,$V25-4,0))</f>
        <v>Tamura</v>
      </c>
      <c r="J25" s="219" t="str">
        <f ca="1">IF(ISERROR($V25),"",OFFSET('Smelter Look-up'!$I$4,$V25-4,0))</f>
        <v>Fukushima</v>
      </c>
      <c r="K25" s="273"/>
      <c r="L25" s="273"/>
      <c r="M25" s="273"/>
      <c r="N25" s="273"/>
      <c r="O25" s="273"/>
      <c r="P25" s="220"/>
      <c r="Q25" s="274"/>
      <c r="R25" s="217" t="str">
        <f ca="1">IF(ISERROR($V25),"",OFFSET('Smelter Look-up'!$C$4,$V25-4,0)&amp;"")</f>
        <v>Asaka Riken Co., Ltd.</v>
      </c>
      <c r="S25" s="225" t="str">
        <f t="shared" ca="1" si="3"/>
        <v>JP</v>
      </c>
      <c r="T25" s="225" t="str">
        <f ca="1">IF(B25="","",IF(ISERROR(MATCH($J25,SorP!$B$1:$B$6230,0)),"",INDIRECT("'SorP'!$A$"&amp;MATCH($J25,SorP!$B$1:$B$6230,0))))</f>
        <v>JP-07</v>
      </c>
      <c r="U25" s="241"/>
      <c r="V25" s="275">
        <f ca="1">IF(C25="",NA(),MATCH($B25&amp;$C25,'Smelter Look-up'!$J:$J,0))</f>
        <v>295</v>
      </c>
      <c r="W25" s="276"/>
      <c r="X25" s="276">
        <f t="shared" ca="1" si="4"/>
        <v>0</v>
      </c>
      <c r="Y25" s="276"/>
      <c r="Z25" s="276"/>
      <c r="AB25" s="278" t="str">
        <f t="shared" ca="1" si="5"/>
        <v>TantalumAsaka Riken Co., Ltd.</v>
      </c>
    </row>
    <row r="26" spans="1:28" s="277" customFormat="1" ht="114.75">
      <c r="A26" s="216" t="s">
        <v>764</v>
      </c>
      <c r="B26" s="217" t="str">
        <f ca="1">IF(LEN(A26)=0,"",INDEX('Smelter Look-up'!$A:$A,MATCH($A26,'Smelter Look-up'!$E:$E,0)))</f>
        <v>Tantalum</v>
      </c>
      <c r="C26" s="221" t="str">
        <f ca="1">IF(LEN(A26)=0,"",INDEX('Smelter Look-up'!$C:$C,MATCH($A26,'Smelter Look-up'!$E:$E,0)))</f>
        <v>Changsha South Tantalum Niobium Co., Ltd.</v>
      </c>
      <c r="D26" s="283"/>
      <c r="E26" s="217" t="str">
        <f ca="1">IF(ISERROR($V26),"",OFFSET('Smelter Look-up'!$D$4,$V26-4,0)&amp;"")</f>
        <v>CHINA</v>
      </c>
      <c r="F26" s="217" t="str">
        <f ca="1">IF(ISERROR($V26),"",OFFSET('Smelter Look-up'!$E$4,$V26-4,0))</f>
        <v>CID000211</v>
      </c>
      <c r="G26" s="217" t="str">
        <f ca="1">IF(C26=$X$4,"Enter smelter details",IF(ISERROR($V26),"",OFFSET('Smelter Look-up'!$F$4,$V26-4,0)))</f>
        <v>RMI</v>
      </c>
      <c r="H26" s="218">
        <f ca="1">IF(ISERROR($V26),"",OFFSET('Smelter Look-up'!$G$4,$V26-4,0))</f>
        <v>0</v>
      </c>
      <c r="I26" s="219" t="str">
        <f ca="1">IF(ISERROR($V26),"",OFFSET('Smelter Look-up'!$H$4,$V26-4,0))</f>
        <v>Changsha</v>
      </c>
      <c r="J26" s="219" t="str">
        <f ca="1">IF(ISERROR($V26),"",OFFSET('Smelter Look-up'!$I$4,$V26-4,0))</f>
        <v>Hunan Sheng</v>
      </c>
      <c r="K26" s="273"/>
      <c r="L26" s="273"/>
      <c r="M26" s="273"/>
      <c r="N26" s="273"/>
      <c r="O26" s="273"/>
      <c r="P26" s="220"/>
      <c r="Q26" s="274"/>
      <c r="R26" s="217" t="str">
        <f ca="1">IF(ISERROR($V26),"",OFFSET('Smelter Look-up'!$C$4,$V26-4,0)&amp;"")</f>
        <v>Changsha South Tantalum Niobium Co., Ltd.</v>
      </c>
      <c r="S26" s="225" t="str">
        <f t="shared" ca="1" si="3"/>
        <v>CN</v>
      </c>
      <c r="T26" s="225" t="str">
        <f ca="1">IF(B26="","",IF(ISERROR(MATCH($J26,SorP!$B$1:$B$6230,0)),"",INDIRECT("'SorP'!$A$"&amp;MATCH($J26,SorP!$B$1:$B$6230,0))))</f>
        <v>CN-HN</v>
      </c>
      <c r="U26" s="241"/>
      <c r="V26" s="275">
        <f ca="1">IF(C26="",NA(),MATCH($B26&amp;$C26,'Smelter Look-up'!$J:$J,0))</f>
        <v>296</v>
      </c>
      <c r="W26" s="276"/>
      <c r="X26" s="276">
        <f t="shared" ca="1" si="4"/>
        <v>0</v>
      </c>
      <c r="Y26" s="276"/>
      <c r="Z26" s="276"/>
      <c r="AB26" s="278" t="str">
        <f t="shared" ca="1" si="5"/>
        <v>TantalumChangsha South Tantalum Niobium Co., Ltd.</v>
      </c>
    </row>
    <row r="27" spans="1:28" s="277" customFormat="1" ht="63.75">
      <c r="A27" s="216" t="s">
        <v>766</v>
      </c>
      <c r="B27" s="217" t="str">
        <f ca="1">IF(LEN(A27)=0,"",INDEX('Smelter Look-up'!$A:$A,MATCH($A27,'Smelter Look-up'!$E:$E,0)))</f>
        <v>Tantalum</v>
      </c>
      <c r="C27" s="221" t="str">
        <f ca="1">IF(LEN(A27)=0,"",INDEX('Smelter Look-up'!$C:$C,MATCH($A27,'Smelter Look-up'!$E:$E,0)))</f>
        <v>F&amp;X Electro-Materials Ltd.</v>
      </c>
      <c r="D27" s="283"/>
      <c r="E27" s="217" t="str">
        <f ca="1">IF(ISERROR($V27),"",OFFSET('Smelter Look-up'!$D$4,$V27-4,0)&amp;"")</f>
        <v>CHINA</v>
      </c>
      <c r="F27" s="217" t="str">
        <f ca="1">IF(ISERROR($V27),"",OFFSET('Smelter Look-up'!$E$4,$V27-4,0))</f>
        <v>CID000460</v>
      </c>
      <c r="G27" s="217" t="str">
        <f ca="1">IF(C27=$X$4,"Enter smelter details",IF(ISERROR($V27),"",OFFSET('Smelter Look-up'!$F$4,$V27-4,0)))</f>
        <v>RMI</v>
      </c>
      <c r="H27" s="218">
        <f ca="1">IF(ISERROR($V27),"",OFFSET('Smelter Look-up'!$G$4,$V27-4,0))</f>
        <v>0</v>
      </c>
      <c r="I27" s="219" t="str">
        <f ca="1">IF(ISERROR($V27),"",OFFSET('Smelter Look-up'!$H$4,$V27-4,0))</f>
        <v>Jiangmen</v>
      </c>
      <c r="J27" s="219" t="str">
        <f ca="1">IF(ISERROR($V27),"",OFFSET('Smelter Look-up'!$I$4,$V27-4,0))</f>
        <v>Guangdong Sheng</v>
      </c>
      <c r="K27" s="273"/>
      <c r="L27" s="273"/>
      <c r="M27" s="273"/>
      <c r="N27" s="273"/>
      <c r="O27" s="273"/>
      <c r="P27" s="220"/>
      <c r="Q27" s="274"/>
      <c r="R27" s="217" t="str">
        <f ca="1">IF(ISERROR($V27),"",OFFSET('Smelter Look-up'!$C$4,$V27-4,0)&amp;"")</f>
        <v>F&amp;X Electro-Materials Ltd.</v>
      </c>
      <c r="S27" s="225" t="str">
        <f t="shared" ca="1" si="3"/>
        <v>CN</v>
      </c>
      <c r="T27" s="225" t="str">
        <f ca="1">IF(B27="","",IF(ISERROR(MATCH($J27,SorP!$B$1:$B$6230,0)),"",INDIRECT("'SorP'!$A$"&amp;MATCH($J27,SorP!$B$1:$B$6230,0))))</f>
        <v>CN-GD</v>
      </c>
      <c r="U27" s="241"/>
      <c r="V27" s="275">
        <f ca="1">IF(C27="",NA(),MATCH($B27&amp;$C27,'Smelter Look-up'!$J:$J,0))</f>
        <v>302</v>
      </c>
      <c r="W27" s="276"/>
      <c r="X27" s="276">
        <f t="shared" ca="1" si="4"/>
        <v>0</v>
      </c>
      <c r="Y27" s="276"/>
      <c r="Z27" s="276"/>
      <c r="AB27" s="278" t="str">
        <f t="shared" ca="1" si="5"/>
        <v>TantalumF&amp;X Electro-Materials Ltd.</v>
      </c>
    </row>
    <row r="28" spans="1:28" s="277" customFormat="1" ht="102">
      <c r="A28" s="216" t="s">
        <v>768</v>
      </c>
      <c r="B28" s="217" t="str">
        <f ca="1">IF(LEN(A28)=0,"",INDEX('Smelter Look-up'!$A:$A,MATCH($A28,'Smelter Look-up'!$E:$E,0)))</f>
        <v>Tantalum</v>
      </c>
      <c r="C28" s="221" t="str">
        <f ca="1">IF(LEN(A28)=0,"",INDEX('Smelter Look-up'!$C:$C,MATCH($A28,'Smelter Look-up'!$E:$E,0)))</f>
        <v>Guangdong Zhiyuan New Material Co., Ltd.</v>
      </c>
      <c r="D28" s="283"/>
      <c r="E28" s="217" t="str">
        <f ca="1">IF(ISERROR($V28),"",OFFSET('Smelter Look-up'!$D$4,$V28-4,0)&amp;"")</f>
        <v>CHINA</v>
      </c>
      <c r="F28" s="217" t="str">
        <f ca="1">IF(ISERROR($V28),"",OFFSET('Smelter Look-up'!$E$4,$V28-4,0))</f>
        <v>CID000616</v>
      </c>
      <c r="G28" s="217" t="str">
        <f ca="1">IF(C28=$X$4,"Enter smelter details",IF(ISERROR($V28),"",OFFSET('Smelter Look-up'!$F$4,$V28-4,0)))</f>
        <v>RMI</v>
      </c>
      <c r="H28" s="218">
        <f ca="1">IF(ISERROR($V28),"",OFFSET('Smelter Look-up'!$G$4,$V28-4,0))</f>
        <v>0</v>
      </c>
      <c r="I28" s="219" t="str">
        <f ca="1">IF(ISERROR($V28),"",OFFSET('Smelter Look-up'!$H$4,$V28-4,0))</f>
        <v>Yingde</v>
      </c>
      <c r="J28" s="219" t="str">
        <f ca="1">IF(ISERROR($V28),"",OFFSET('Smelter Look-up'!$I$4,$V28-4,0))</f>
        <v>Guangdong Sheng</v>
      </c>
      <c r="K28" s="273"/>
      <c r="L28" s="273"/>
      <c r="M28" s="273"/>
      <c r="N28" s="273"/>
      <c r="O28" s="273"/>
      <c r="P28" s="220"/>
      <c r="Q28" s="274"/>
      <c r="R28" s="217" t="str">
        <f ca="1">IF(ISERROR($V28),"",OFFSET('Smelter Look-up'!$C$4,$V28-4,0)&amp;"")</f>
        <v>Guangdong Zhiyuan New Material Co., Ltd.</v>
      </c>
      <c r="S28" s="225" t="str">
        <f t="shared" ca="1" si="3"/>
        <v>CN</v>
      </c>
      <c r="T28" s="225" t="str">
        <f ca="1">IF(B28="","",IF(ISERROR(MATCH($J28,SorP!$B$1:$B$6230,0)),"",INDIRECT("'SorP'!$A$"&amp;MATCH($J28,SorP!$B$1:$B$6230,0))))</f>
        <v>CN-GD</v>
      </c>
      <c r="U28" s="241"/>
      <c r="V28" s="275">
        <f ca="1">IF(C28="",NA(),MATCH($B28&amp;$C28,'Smelter Look-up'!$J:$J,0))</f>
        <v>306</v>
      </c>
      <c r="W28" s="276"/>
      <c r="X28" s="276">
        <f t="shared" ca="1" si="4"/>
        <v>0</v>
      </c>
      <c r="Y28" s="276"/>
      <c r="Z28" s="276"/>
      <c r="AB28" s="278" t="str">
        <f t="shared" ca="1" si="5"/>
        <v>TantalumGuangdong Zhiyuan New Material Co., Ltd.</v>
      </c>
    </row>
    <row r="29" spans="1:28" s="277" customFormat="1" ht="102">
      <c r="A29" s="216" t="s">
        <v>769</v>
      </c>
      <c r="B29" s="217" t="str">
        <f ca="1">IF(LEN(A29)=0,"",INDEX('Smelter Look-up'!$A:$A,MATCH($A29,'Smelter Look-up'!$E:$E,0)))</f>
        <v>Tantalum</v>
      </c>
      <c r="C29" s="221" t="str">
        <f ca="1">IF(LEN(A29)=0,"",INDEX('Smelter Look-up'!$C:$C,MATCH($A29,'Smelter Look-up'!$E:$E,0)))</f>
        <v>JiuJiang JinXin Nonferrous Metals Co., Ltd.</v>
      </c>
      <c r="D29" s="283"/>
      <c r="E29" s="217" t="str">
        <f ca="1">IF(ISERROR($V29),"",OFFSET('Smelter Look-up'!$D$4,$V29-4,0)&amp;"")</f>
        <v>CHINA</v>
      </c>
      <c r="F29" s="217" t="str">
        <f ca="1">IF(ISERROR($V29),"",OFFSET('Smelter Look-up'!$E$4,$V29-4,0))</f>
        <v>CID000914</v>
      </c>
      <c r="G29" s="217" t="str">
        <f ca="1">IF(C29=$X$4,"Enter smelter details",IF(ISERROR($V29),"",OFFSET('Smelter Look-up'!$F$4,$V29-4,0)))</f>
        <v>RMI</v>
      </c>
      <c r="H29" s="218">
        <f ca="1">IF(ISERROR($V29),"",OFFSET('Smelter Look-up'!$G$4,$V29-4,0))</f>
        <v>0</v>
      </c>
      <c r="I29" s="219" t="str">
        <f ca="1">IF(ISERROR($V29),"",OFFSET('Smelter Look-up'!$H$4,$V29-4,0))</f>
        <v>Jiujiang</v>
      </c>
      <c r="J29" s="219" t="str">
        <f ca="1">IF(ISERROR($V29),"",OFFSET('Smelter Look-up'!$I$4,$V29-4,0))</f>
        <v>Jiangxi Sheng</v>
      </c>
      <c r="K29" s="273"/>
      <c r="L29" s="273"/>
      <c r="M29" s="273"/>
      <c r="N29" s="273"/>
      <c r="O29" s="273"/>
      <c r="P29" s="220"/>
      <c r="Q29" s="274"/>
      <c r="R29" s="217" t="str">
        <f ca="1">IF(ISERROR($V29),"",OFFSET('Smelter Look-up'!$C$4,$V29-4,0)&amp;"")</f>
        <v>JiuJiang JinXin Nonferrous Metals Co., Ltd.</v>
      </c>
      <c r="S29" s="225" t="str">
        <f t="shared" ca="1" si="3"/>
        <v>CN</v>
      </c>
      <c r="T29" s="225" t="str">
        <f ca="1">IF(B29="","",IF(ISERROR(MATCH($J29,SorP!$B$1:$B$6230,0)),"",INDIRECT("'SorP'!$A$"&amp;MATCH($J29,SorP!$B$1:$B$6230,0))))</f>
        <v>CN-JX</v>
      </c>
      <c r="U29" s="241"/>
      <c r="V29" s="275">
        <f ca="1">IF(C29="",NA(),MATCH($B29&amp;$C29,'Smelter Look-up'!$J:$J,0))</f>
        <v>316</v>
      </c>
      <c r="W29" s="276"/>
      <c r="X29" s="276">
        <f t="shared" ca="1" si="4"/>
        <v>0</v>
      </c>
      <c r="Y29" s="276"/>
      <c r="Z29" s="276"/>
      <c r="AB29" s="278" t="str">
        <f t="shared" ca="1" si="5"/>
        <v>TantalumJiuJiang JinXin Nonferrous Metals Co., Ltd.</v>
      </c>
    </row>
    <row r="30" spans="1:28" s="277" customFormat="1" ht="76.5">
      <c r="A30" s="216" t="s">
        <v>770</v>
      </c>
      <c r="B30" s="217" t="str">
        <f ca="1">IF(LEN(A30)=0,"",INDEX('Smelter Look-up'!$A:$A,MATCH($A30,'Smelter Look-up'!$E:$E,0)))</f>
        <v>Tantalum</v>
      </c>
      <c r="C30" s="221" t="str">
        <f ca="1">IF(LEN(A30)=0,"",INDEX('Smelter Look-up'!$C:$C,MATCH($A30,'Smelter Look-up'!$E:$E,0)))</f>
        <v>Jiujiang Tanbre Co., Ltd.</v>
      </c>
      <c r="D30" s="283"/>
      <c r="E30" s="217" t="str">
        <f ca="1">IF(ISERROR($V30),"",OFFSET('Smelter Look-up'!$D$4,$V30-4,0)&amp;"")</f>
        <v>CHINA</v>
      </c>
      <c r="F30" s="217" t="str">
        <f ca="1">IF(ISERROR($V30),"",OFFSET('Smelter Look-up'!$E$4,$V30-4,0))</f>
        <v>CID000917</v>
      </c>
      <c r="G30" s="217" t="str">
        <f ca="1">IF(C30=$X$4,"Enter smelter details",IF(ISERROR($V30),"",OFFSET('Smelter Look-up'!$F$4,$V30-4,0)))</f>
        <v>RMI</v>
      </c>
      <c r="H30" s="218">
        <f ca="1">IF(ISERROR($V30),"",OFFSET('Smelter Look-up'!$G$4,$V30-4,0))</f>
        <v>0</v>
      </c>
      <c r="I30" s="219" t="str">
        <f ca="1">IF(ISERROR($V30),"",OFFSET('Smelter Look-up'!$H$4,$V30-4,0))</f>
        <v>Jiujiang</v>
      </c>
      <c r="J30" s="219" t="str">
        <f ca="1">IF(ISERROR($V30),"",OFFSET('Smelter Look-up'!$I$4,$V30-4,0))</f>
        <v>Jiangxi Sheng</v>
      </c>
      <c r="K30" s="273"/>
      <c r="L30" s="273"/>
      <c r="M30" s="273"/>
      <c r="N30" s="273"/>
      <c r="O30" s="273"/>
      <c r="P30" s="220"/>
      <c r="Q30" s="274"/>
      <c r="R30" s="217" t="str">
        <f ca="1">IF(ISERROR($V30),"",OFFSET('Smelter Look-up'!$C$4,$V30-4,0)&amp;"")</f>
        <v>Jiujiang Tanbre Co., Ltd.</v>
      </c>
      <c r="S30" s="225" t="str">
        <f t="shared" ca="1" si="3"/>
        <v>CN</v>
      </c>
      <c r="T30" s="225" t="str">
        <f ca="1">IF(B30="","",IF(ISERROR(MATCH($J30,SorP!$B$1:$B$6230,0)),"",INDIRECT("'SorP'!$A$"&amp;MATCH($J30,SorP!$B$1:$B$6230,0))))</f>
        <v>CN-JX</v>
      </c>
      <c r="U30" s="241"/>
      <c r="V30" s="275">
        <f ca="1">IF(C30="",NA(),MATCH($B30&amp;$C30,'Smelter Look-up'!$J:$J,0))</f>
        <v>318</v>
      </c>
      <c r="W30" s="276"/>
      <c r="X30" s="276">
        <f t="shared" ca="1" si="4"/>
        <v>0</v>
      </c>
      <c r="Y30" s="276"/>
      <c r="Z30" s="276"/>
      <c r="AB30" s="278" t="str">
        <f t="shared" ca="1" si="5"/>
        <v>TantalumJiujiang Tanbre Co., Ltd.</v>
      </c>
    </row>
    <row r="31" spans="1:28" s="277" customFormat="1" ht="102">
      <c r="A31" s="216" t="s">
        <v>776</v>
      </c>
      <c r="B31" s="217" t="str">
        <f ca="1">IF(LEN(A31)=0,"",INDEX('Smelter Look-up'!$A:$A,MATCH($A31,'Smelter Look-up'!$E:$E,0)))</f>
        <v>Tantalum</v>
      </c>
      <c r="C31" s="221" t="str">
        <f ca="1">IF(LEN(A31)=0,"",INDEX('Smelter Look-up'!$C:$C,MATCH($A31,'Smelter Look-up'!$E:$E,0)))</f>
        <v>Ningxia Orient Tantalum Industry Co., Ltd.</v>
      </c>
      <c r="D31" s="283"/>
      <c r="E31" s="217" t="str">
        <f ca="1">IF(ISERROR($V31),"",OFFSET('Smelter Look-up'!$D$4,$V31-4,0)&amp;"")</f>
        <v>CHINA</v>
      </c>
      <c r="F31" s="217" t="str">
        <f ca="1">IF(ISERROR($V31),"",OFFSET('Smelter Look-up'!$E$4,$V31-4,0))</f>
        <v>CID001277</v>
      </c>
      <c r="G31" s="217" t="str">
        <f ca="1">IF(C31=$X$4,"Enter smelter details",IF(ISERROR($V31),"",OFFSET('Smelter Look-up'!$F$4,$V31-4,0)))</f>
        <v>RMI</v>
      </c>
      <c r="H31" s="218">
        <f ca="1">IF(ISERROR($V31),"",OFFSET('Smelter Look-up'!$G$4,$V31-4,0))</f>
        <v>0</v>
      </c>
      <c r="I31" s="219" t="str">
        <f ca="1">IF(ISERROR($V31),"",OFFSET('Smelter Look-up'!$H$4,$V31-4,0))</f>
        <v>Shizuishan City</v>
      </c>
      <c r="J31" s="219" t="str">
        <f ca="1">IF(ISERROR($V31),"",OFFSET('Smelter Look-up'!$I$4,$V31-4,0))</f>
        <v>Ningxia Huizi Zizhiqu</v>
      </c>
      <c r="K31" s="273"/>
      <c r="L31" s="273"/>
      <c r="M31" s="273"/>
      <c r="N31" s="273"/>
      <c r="O31" s="273"/>
      <c r="P31" s="220"/>
      <c r="Q31" s="274"/>
      <c r="R31" s="217" t="str">
        <f ca="1">IF(ISERROR($V31),"",OFFSET('Smelter Look-up'!$C$4,$V31-4,0)&amp;"")</f>
        <v>Ningxia Orient Tantalum Industry Co., Ltd.</v>
      </c>
      <c r="S31" s="225" t="str">
        <f t="shared" ca="1" si="3"/>
        <v>CN</v>
      </c>
      <c r="T31" s="225" t="str">
        <f ca="1">IF(B31="","",IF(ISERROR(MATCH($J31,SorP!$B$1:$B$6230,0)),"",INDIRECT("'SorP'!$A$"&amp;MATCH($J31,SorP!$B$1:$B$6230,0))))</f>
        <v>CN-NX</v>
      </c>
      <c r="U31" s="241"/>
      <c r="V31" s="275">
        <f ca="1">IF(C31="",NA(),MATCH($B31&amp;$C31,'Smelter Look-up'!$J:$J,0))</f>
        <v>331</v>
      </c>
      <c r="W31" s="276"/>
      <c r="X31" s="276">
        <f t="shared" ca="1" si="4"/>
        <v>0</v>
      </c>
      <c r="Y31" s="276"/>
      <c r="Z31" s="276"/>
      <c r="AB31" s="278" t="str">
        <f t="shared" ca="1" si="5"/>
        <v>TantalumNingxia Orient Tantalum Industry Co., Ltd.</v>
      </c>
    </row>
    <row r="32" spans="1:28" s="277" customFormat="1" ht="127.5">
      <c r="A32" s="216" t="s">
        <v>778</v>
      </c>
      <c r="B32" s="217" t="str">
        <f ca="1">IF(LEN(A32)=0,"",INDEX('Smelter Look-up'!$A:$A,MATCH($A32,'Smelter Look-up'!$E:$E,0)))</f>
        <v>Tantalum</v>
      </c>
      <c r="C32" s="221" t="str">
        <f ca="1">IF(LEN(A32)=0,"",INDEX('Smelter Look-up'!$C:$C,MATCH($A32,'Smelter Look-up'!$E:$E,0)))</f>
        <v>Yanling Jincheng Tantalum &amp; Niobium Co., Ltd.</v>
      </c>
      <c r="D32" s="283"/>
      <c r="E32" s="217" t="str">
        <f ca="1">IF(ISERROR($V32),"",OFFSET('Smelter Look-up'!$D$4,$V32-4,0)&amp;"")</f>
        <v>CHINA</v>
      </c>
      <c r="F32" s="217" t="str">
        <f ca="1">IF(ISERROR($V32),"",OFFSET('Smelter Look-up'!$E$4,$V32-4,0))</f>
        <v>CID001522</v>
      </c>
      <c r="G32" s="217" t="str">
        <f ca="1">IF(C32=$X$4,"Enter smelter details",IF(ISERROR($V32),"",OFFSET('Smelter Look-up'!$F$4,$V32-4,0)))</f>
        <v>RMI</v>
      </c>
      <c r="H32" s="218">
        <f ca="1">IF(ISERROR($V32),"",OFFSET('Smelter Look-up'!$G$4,$V32-4,0))</f>
        <v>0</v>
      </c>
      <c r="I32" s="219" t="str">
        <f ca="1">IF(ISERROR($V32),"",OFFSET('Smelter Look-up'!$H$4,$V32-4,0))</f>
        <v>Zhuzhou</v>
      </c>
      <c r="J32" s="219" t="str">
        <f ca="1">IF(ISERROR($V32),"",OFFSET('Smelter Look-up'!$I$4,$V32-4,0))</f>
        <v>Hunan Sheng</v>
      </c>
      <c r="K32" s="273"/>
      <c r="L32" s="273"/>
      <c r="M32" s="273"/>
      <c r="N32" s="273"/>
      <c r="O32" s="273"/>
      <c r="P32" s="220"/>
      <c r="Q32" s="274"/>
      <c r="R32" s="217" t="str">
        <f ca="1">IF(ISERROR($V32),"",OFFSET('Smelter Look-up'!$C$4,$V32-4,0)&amp;"")</f>
        <v>Yanling Jincheng Tantalum &amp; Niobium Co., Ltd.</v>
      </c>
      <c r="S32" s="225" t="str">
        <f t="shared" ca="1" si="3"/>
        <v>CN</v>
      </c>
      <c r="T32" s="225" t="str">
        <f ca="1">IF(B32="","",IF(ISERROR(MATCH($J32,SorP!$B$1:$B$6230,0)),"",INDIRECT("'SorP'!$A$"&amp;MATCH($J32,SorP!$B$1:$B$6230,0))))</f>
        <v>CN-HN</v>
      </c>
      <c r="U32" s="241"/>
      <c r="V32" s="275">
        <f ca="1">IF(C32="",NA(),MATCH($B32&amp;$C32,'Smelter Look-up'!$J:$J,0))</f>
        <v>351</v>
      </c>
      <c r="W32" s="276"/>
      <c r="X32" s="276">
        <f t="shared" ca="1" si="4"/>
        <v>0</v>
      </c>
      <c r="Y32" s="276"/>
      <c r="Z32" s="276"/>
      <c r="AB32" s="278" t="str">
        <f t="shared" ca="1" si="5"/>
        <v>TantalumYanling Jincheng Tantalum &amp; Niobium Co., Ltd.</v>
      </c>
    </row>
    <row r="33" spans="1:28" s="277" customFormat="1" ht="114.75">
      <c r="A33" s="216" t="s">
        <v>406</v>
      </c>
      <c r="B33" s="217" t="str">
        <f ca="1">IF(LEN(A33)=0,"",INDEX('Smelter Look-up'!$A:$A,MATCH($A33,'Smelter Look-up'!$E:$E,0)))</f>
        <v>Tantalum</v>
      </c>
      <c r="C33" s="221" t="str">
        <f ca="1">IF(LEN(A33)=0,"",INDEX('Smelter Look-up'!$C:$C,MATCH($A33,'Smelter Look-up'!$E:$E,0)))</f>
        <v>Hengyang King Xing Lifeng New Materials Co., Ltd.</v>
      </c>
      <c r="D33" s="283"/>
      <c r="E33" s="217" t="str">
        <f ca="1">IF(ISERROR($V33),"",OFFSET('Smelter Look-up'!$D$4,$V33-4,0)&amp;"")</f>
        <v>CHINA</v>
      </c>
      <c r="F33" s="217" t="str">
        <f ca="1">IF(ISERROR($V33),"",OFFSET('Smelter Look-up'!$E$4,$V33-4,0))</f>
        <v>CID002492</v>
      </c>
      <c r="G33" s="217" t="str">
        <f ca="1">IF(C33=$X$4,"Enter smelter details",IF(ISERROR($V33),"",OFFSET('Smelter Look-up'!$F$4,$V33-4,0)))</f>
        <v>RMI</v>
      </c>
      <c r="H33" s="218">
        <f ca="1">IF(ISERROR($V33),"",OFFSET('Smelter Look-up'!$G$4,$V33-4,0))</f>
        <v>0</v>
      </c>
      <c r="I33" s="219" t="str">
        <f ca="1">IF(ISERROR($V33),"",OFFSET('Smelter Look-up'!$H$4,$V33-4,0))</f>
        <v>Hengyang</v>
      </c>
      <c r="J33" s="219" t="str">
        <f ca="1">IF(ISERROR($V33),"",OFFSET('Smelter Look-up'!$I$4,$V33-4,0))</f>
        <v>Hunan Sheng</v>
      </c>
      <c r="K33" s="273"/>
      <c r="L33" s="273"/>
      <c r="M33" s="273"/>
      <c r="N33" s="273"/>
      <c r="O33" s="273"/>
      <c r="P33" s="220"/>
      <c r="Q33" s="274"/>
      <c r="R33" s="217" t="str">
        <f ca="1">IF(ISERROR($V33),"",OFFSET('Smelter Look-up'!$C$4,$V33-4,0)&amp;"")</f>
        <v>Hengyang King Xing Lifeng New Materials Co., Ltd.</v>
      </c>
      <c r="S33" s="225" t="str">
        <f t="shared" ca="1" si="3"/>
        <v>CN</v>
      </c>
      <c r="T33" s="225" t="str">
        <f ca="1">IF(B33="","",IF(ISERROR(MATCH($J33,SorP!$B$1:$B$6230,0)),"",INDIRECT("'SorP'!$A$"&amp;MATCH($J33,SorP!$B$1:$B$6230,0))))</f>
        <v>CN-HN</v>
      </c>
      <c r="U33" s="241"/>
      <c r="V33" s="275">
        <f ca="1">IF(C33="",NA(),MATCH($B33&amp;$C33,'Smelter Look-up'!$J:$J,0))</f>
        <v>313</v>
      </c>
      <c r="W33" s="276"/>
      <c r="X33" s="276">
        <f t="shared" ca="1" si="4"/>
        <v>0</v>
      </c>
      <c r="Y33" s="276"/>
      <c r="Z33" s="276"/>
      <c r="AB33" s="278" t="str">
        <f t="shared" ca="1" si="5"/>
        <v>TantalumHengyang King Xing Lifeng New Materials Co., Ltd.</v>
      </c>
    </row>
    <row r="34" spans="1:28" s="277" customFormat="1" ht="63.75">
      <c r="A34" s="216" t="s">
        <v>1419</v>
      </c>
      <c r="B34" s="217" t="str">
        <f ca="1">IF(LEN(A34)=0,"",INDEX('Smelter Look-up'!$A:$A,MATCH($A34,'Smelter Look-up'!$E:$E,0)))</f>
        <v>Tantalum</v>
      </c>
      <c r="C34" s="221" t="str">
        <f ca="1">IF(LEN(A34)=0,"",INDEX('Smelter Look-up'!$C:$C,MATCH($A34,'Smelter Look-up'!$E:$E,0)))</f>
        <v>D Block Metals, LLC</v>
      </c>
      <c r="D34" s="283"/>
      <c r="E34" s="217" t="str">
        <f ca="1">IF(ISERROR($V34),"",OFFSET('Smelter Look-up'!$D$4,$V34-4,0)&amp;"")</f>
        <v>UNITED STATES OF AMERICA</v>
      </c>
      <c r="F34" s="217" t="str">
        <f ca="1">IF(ISERROR($V34),"",OFFSET('Smelter Look-up'!$E$4,$V34-4,0))</f>
        <v>CID002504</v>
      </c>
      <c r="G34" s="217" t="str">
        <f ca="1">IF(C34=$X$4,"Enter smelter details",IF(ISERROR($V34),"",OFFSET('Smelter Look-up'!$F$4,$V34-4,0)))</f>
        <v>RMI</v>
      </c>
      <c r="H34" s="218">
        <f ca="1">IF(ISERROR($V34),"",OFFSET('Smelter Look-up'!$G$4,$V34-4,0))</f>
        <v>0</v>
      </c>
      <c r="I34" s="219" t="str">
        <f ca="1">IF(ISERROR($V34),"",OFFSET('Smelter Look-up'!$H$4,$V34-4,0))</f>
        <v>Gastonia</v>
      </c>
      <c r="J34" s="219" t="str">
        <f ca="1">IF(ISERROR($V34),"",OFFSET('Smelter Look-up'!$I$4,$V34-4,0))</f>
        <v>North Carolina</v>
      </c>
      <c r="K34" s="273"/>
      <c r="L34" s="273"/>
      <c r="M34" s="273"/>
      <c r="N34" s="273"/>
      <c r="O34" s="273"/>
      <c r="P34" s="220"/>
      <c r="Q34" s="274"/>
      <c r="R34" s="217" t="str">
        <f ca="1">IF(ISERROR($V34),"",OFFSET('Smelter Look-up'!$C$4,$V34-4,0)&amp;"")</f>
        <v>D Block Metals, LLC</v>
      </c>
      <c r="S34" s="225" t="str">
        <f t="shared" ca="1" si="3"/>
        <v>US</v>
      </c>
      <c r="T34" s="225" t="str">
        <f ca="1">IF(B34="","",IF(ISERROR(MATCH($J34,SorP!$B$1:$B$6230,0)),"",INDIRECT("'SorP'!$A$"&amp;MATCH($J34,SorP!$B$1:$B$6230,0))))</f>
        <v>US-NC</v>
      </c>
      <c r="U34" s="241"/>
      <c r="V34" s="275">
        <f ca="1">IF(C34="",NA(),MATCH($B34&amp;$C34,'Smelter Look-up'!$J:$J,0))</f>
        <v>299</v>
      </c>
      <c r="W34" s="276"/>
      <c r="X34" s="276">
        <f t="shared" ca="1" si="4"/>
        <v>0</v>
      </c>
      <c r="Y34" s="276"/>
      <c r="Z34" s="276"/>
      <c r="AB34" s="278" t="str">
        <f t="shared" ca="1" si="5"/>
        <v>TantalumD Block Metals, LLC</v>
      </c>
    </row>
    <row r="35" spans="1:28" s="277" customFormat="1" ht="76.5">
      <c r="A35" s="216" t="s">
        <v>1420</v>
      </c>
      <c r="B35" s="217" t="str">
        <f ca="1">IF(LEN(A35)=0,"",INDEX('Smelter Look-up'!$A:$A,MATCH($A35,'Smelter Look-up'!$E:$E,0)))</f>
        <v>Tantalum</v>
      </c>
      <c r="C35" s="221" t="str">
        <f ca="1">IF(LEN(A35)=0,"",INDEX('Smelter Look-up'!$C:$C,MATCH($A35,'Smelter Look-up'!$E:$E,0)))</f>
        <v>FIR Metals &amp; Resource Ltd.</v>
      </c>
      <c r="D35" s="283"/>
      <c r="E35" s="217" t="str">
        <f ca="1">IF(ISERROR($V35),"",OFFSET('Smelter Look-up'!$D$4,$V35-4,0)&amp;"")</f>
        <v>CHINA</v>
      </c>
      <c r="F35" s="217" t="str">
        <f ca="1">IF(ISERROR($V35),"",OFFSET('Smelter Look-up'!$E$4,$V35-4,0))</f>
        <v>CID002505</v>
      </c>
      <c r="G35" s="217" t="str">
        <f ca="1">IF(C35=$X$4,"Enter smelter details",IF(ISERROR($V35),"",OFFSET('Smelter Look-up'!$F$4,$V35-4,0)))</f>
        <v>RMI</v>
      </c>
      <c r="H35" s="218">
        <f ca="1">IF(ISERROR($V35),"",OFFSET('Smelter Look-up'!$G$4,$V35-4,0))</f>
        <v>0</v>
      </c>
      <c r="I35" s="219" t="str">
        <f ca="1">IF(ISERROR($V35),"",OFFSET('Smelter Look-up'!$H$4,$V35-4,0))</f>
        <v>Zhuzhou</v>
      </c>
      <c r="J35" s="219" t="str">
        <f ca="1">IF(ISERROR($V35),"",OFFSET('Smelter Look-up'!$I$4,$V35-4,0))</f>
        <v>Hunan Sheng</v>
      </c>
      <c r="K35" s="273"/>
      <c r="L35" s="273"/>
      <c r="M35" s="273"/>
      <c r="N35" s="273"/>
      <c r="O35" s="273"/>
      <c r="P35" s="220"/>
      <c r="Q35" s="274"/>
      <c r="R35" s="217" t="str">
        <f ca="1">IF(ISERROR($V35),"",OFFSET('Smelter Look-up'!$C$4,$V35-4,0)&amp;"")</f>
        <v>FIR Metals &amp; Resource Ltd.</v>
      </c>
      <c r="S35" s="225" t="str">
        <f t="shared" ca="1" si="3"/>
        <v>CN</v>
      </c>
      <c r="T35" s="225" t="str">
        <f ca="1">IF(B35="","",IF(ISERROR(MATCH($J35,SorP!$B$1:$B$6230,0)),"",INDIRECT("'SorP'!$A$"&amp;MATCH($J35,SorP!$B$1:$B$6230,0))))</f>
        <v>CN-HN</v>
      </c>
      <c r="U35" s="241"/>
      <c r="V35" s="275">
        <f ca="1">IF(C35="",NA(),MATCH($B35&amp;$C35,'Smelter Look-up'!$J:$J,0))</f>
        <v>303</v>
      </c>
      <c r="W35" s="276"/>
      <c r="X35" s="276">
        <f t="shared" ca="1" si="4"/>
        <v>0</v>
      </c>
      <c r="Y35" s="276"/>
      <c r="Z35" s="276"/>
      <c r="AB35" s="278" t="str">
        <f t="shared" ca="1" si="5"/>
        <v>TantalumFIR Metals &amp; Resource Ltd.</v>
      </c>
    </row>
    <row r="36" spans="1:28" s="277" customFormat="1" ht="89.25">
      <c r="A36" s="216" t="s">
        <v>1437</v>
      </c>
      <c r="B36" s="217" t="str">
        <f ca="1">IF(LEN(A36)=0,"",INDEX('Smelter Look-up'!$A:$A,MATCH($A36,'Smelter Look-up'!$E:$E,0)))</f>
        <v>Tantalum</v>
      </c>
      <c r="C36" s="221" t="str">
        <f ca="1">IF(LEN(A36)=0,"",INDEX('Smelter Look-up'!$C:$C,MATCH($A36,'Smelter Look-up'!$E:$E,0)))</f>
        <v>Global Advanced Metals Boyertown</v>
      </c>
      <c r="D36" s="283"/>
      <c r="E36" s="217" t="str">
        <f ca="1">IF(ISERROR($V36),"",OFFSET('Smelter Look-up'!$D$4,$V36-4,0)&amp;"")</f>
        <v>UNITED STATES OF AMERICA</v>
      </c>
      <c r="F36" s="217" t="str">
        <f ca="1">IF(ISERROR($V36),"",OFFSET('Smelter Look-up'!$E$4,$V36-4,0))</f>
        <v>CID002557</v>
      </c>
      <c r="G36" s="217" t="str">
        <f ca="1">IF(C36=$X$4,"Enter smelter details",IF(ISERROR($V36),"",OFFSET('Smelter Look-up'!$F$4,$V36-4,0)))</f>
        <v>RMI</v>
      </c>
      <c r="H36" s="218">
        <f ca="1">IF(ISERROR($V36),"",OFFSET('Smelter Look-up'!$G$4,$V36-4,0))</f>
        <v>0</v>
      </c>
      <c r="I36" s="219" t="str">
        <f ca="1">IF(ISERROR($V36),"",OFFSET('Smelter Look-up'!$H$4,$V36-4,0))</f>
        <v>Boyertown</v>
      </c>
      <c r="J36" s="219" t="str">
        <f ca="1">IF(ISERROR($V36),"",OFFSET('Smelter Look-up'!$I$4,$V36-4,0))</f>
        <v>Pennsylvania</v>
      </c>
      <c r="K36" s="273"/>
      <c r="L36" s="273"/>
      <c r="M36" s="273"/>
      <c r="N36" s="273"/>
      <c r="O36" s="273"/>
      <c r="P36" s="220"/>
      <c r="Q36" s="274"/>
      <c r="R36" s="217" t="str">
        <f ca="1">IF(ISERROR($V36),"",OFFSET('Smelter Look-up'!$C$4,$V36-4,0)&amp;"")</f>
        <v>Global Advanced Metals Boyertown</v>
      </c>
      <c r="S36" s="225" t="str">
        <f t="shared" ca="1" si="3"/>
        <v>US</v>
      </c>
      <c r="T36" s="225" t="str">
        <f ca="1">IF(B36="","",IF(ISERROR(MATCH($J36,SorP!$B$1:$B$6230,0)),"",INDIRECT("'SorP'!$A$"&amp;MATCH($J36,SorP!$B$1:$B$6230,0))))</f>
        <v>US-PA</v>
      </c>
      <c r="U36" s="241"/>
      <c r="V36" s="275">
        <f ca="1">IF(C36="",NA(),MATCH($B36&amp;$C36,'Smelter Look-up'!$J:$J,0))</f>
        <v>305</v>
      </c>
      <c r="W36" s="276"/>
      <c r="X36" s="276">
        <f t="shared" ca="1" si="4"/>
        <v>0</v>
      </c>
      <c r="Y36" s="276"/>
      <c r="Z36" s="276"/>
      <c r="AB36" s="278" t="str">
        <f t="shared" ca="1" si="5"/>
        <v>TantalumGlobal Advanced Metals Boyertown</v>
      </c>
    </row>
    <row r="37" spans="1:28" s="277" customFormat="1" ht="76.5">
      <c r="A37" s="216" t="s">
        <v>2387</v>
      </c>
      <c r="B37" s="217" t="str">
        <f ca="1">IF(LEN(A37)=0,"",INDEX('Smelter Look-up'!$A:$A,MATCH($A37,'Smelter Look-up'!$E:$E,0)))</f>
        <v>Tantalum</v>
      </c>
      <c r="C37" s="221" t="str">
        <f ca="1">IF(LEN(A37)=0,"",INDEX('Smelter Look-up'!$C:$C,MATCH($A37,'Smelter Look-up'!$E:$E,0)))</f>
        <v>Jiangxi Tuohong New Raw Material</v>
      </c>
      <c r="D37" s="283"/>
      <c r="E37" s="217" t="str">
        <f ca="1">IF(ISERROR($V37),"",OFFSET('Smelter Look-up'!$D$4,$V37-4,0)&amp;"")</f>
        <v>CHINA</v>
      </c>
      <c r="F37" s="217" t="str">
        <f ca="1">IF(ISERROR($V37),"",OFFSET('Smelter Look-up'!$E$4,$V37-4,0))</f>
        <v>CID002842</v>
      </c>
      <c r="G37" s="217" t="str">
        <f ca="1">IF(C37=$X$4,"Enter smelter details",IF(ISERROR($V37),"",OFFSET('Smelter Look-up'!$F$4,$V37-4,0)))</f>
        <v>RMI</v>
      </c>
      <c r="H37" s="218">
        <f ca="1">IF(ISERROR($V37),"",OFFSET('Smelter Look-up'!$G$4,$V37-4,0))</f>
        <v>0</v>
      </c>
      <c r="I37" s="219" t="str">
        <f ca="1">IF(ISERROR($V37),"",OFFSET('Smelter Look-up'!$H$4,$V37-4,0))</f>
        <v>Yichun</v>
      </c>
      <c r="J37" s="219" t="str">
        <f ca="1">IF(ISERROR($V37),"",OFFSET('Smelter Look-up'!$I$4,$V37-4,0))</f>
        <v>Jiangxi Sheng</v>
      </c>
      <c r="K37" s="273"/>
      <c r="L37" s="273"/>
      <c r="M37" s="273"/>
      <c r="N37" s="273"/>
      <c r="O37" s="273"/>
      <c r="P37" s="220"/>
      <c r="Q37" s="274"/>
      <c r="R37" s="217" t="str">
        <f ca="1">IF(ISERROR($V37),"",OFFSET('Smelter Look-up'!$C$4,$V37-4,0)&amp;"")</f>
        <v>Jiangxi Tuohong New Raw Material</v>
      </c>
      <c r="S37" s="225" t="str">
        <f t="shared" ca="1" si="3"/>
        <v>CN</v>
      </c>
      <c r="T37" s="225" t="str">
        <f ca="1">IF(B37="","",IF(ISERROR(MATCH($J37,SorP!$B$1:$B$6230,0)),"",INDIRECT("'SorP'!$A$"&amp;MATCH($J37,SorP!$B$1:$B$6230,0))))</f>
        <v>CN-JX</v>
      </c>
      <c r="U37" s="241"/>
      <c r="V37" s="275">
        <f ca="1">IF(C37="",NA(),MATCH($B37&amp;$C37,'Smelter Look-up'!$J:$J,0))</f>
        <v>315</v>
      </c>
      <c r="W37" s="276"/>
      <c r="X37" s="276">
        <f t="shared" ca="1" si="4"/>
        <v>0</v>
      </c>
      <c r="Y37" s="276"/>
      <c r="Z37" s="276"/>
      <c r="AB37" s="278" t="str">
        <f t="shared" ca="1" si="5"/>
        <v>TantalumJiangxi Tuohong New Raw Material</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4" priority="42" stopIfTrue="1">
      <formula>IF(B586="",TRUE)</formula>
    </cfRule>
    <cfRule type="expression" dxfId="53" priority="53" stopIfTrue="1">
      <formula>IF(AND(COUNTIF(MetalSmelter,B586&amp;C586)=0,LEN(C586)&gt;0),TRUE,FALSE)</formula>
    </cfRule>
  </conditionalFormatting>
  <conditionalFormatting sqref="D586:D2504">
    <cfRule type="expression" dxfId="52" priority="36" stopIfTrue="1">
      <formula>IF(AND(LEN($C586)&gt;0,($C586&lt;&gt;"Smelter Not Listed")),1,0)</formula>
    </cfRule>
    <cfRule type="expression" dxfId="51" priority="61" stopIfTrue="1">
      <formula>IF(AND(D586="",$C586=$X$4),TRUE)</formula>
    </cfRule>
    <cfRule type="expression" dxfId="50" priority="62" stopIfTrue="1">
      <formula>IF(FIND("!",D586),TRUE)</formula>
    </cfRule>
  </conditionalFormatting>
  <conditionalFormatting sqref="G586:G2504">
    <cfRule type="expression" dxfId="49" priority="63" stopIfTrue="1">
      <formula>IF(FIND("Enter smelter details",G586),TRUE)</formula>
    </cfRule>
  </conditionalFormatting>
  <conditionalFormatting sqref="R586:R2505 E586:E2504">
    <cfRule type="expression" dxfId="48" priority="49" stopIfTrue="1">
      <formula>IF(AND(E586="",$C586=$X$4),TRUE)</formula>
    </cfRule>
    <cfRule type="expression" dxfId="47" priority="50" stopIfTrue="1">
      <formula>IF(FIND("!",E586),TRUE)</formula>
    </cfRule>
  </conditionalFormatting>
  <conditionalFormatting sqref="F586:F2504">
    <cfRule type="expression" dxfId="46" priority="40" stopIfTrue="1">
      <formula>IF(AND(LEN($A586)&gt;0,$A586&lt;&gt;$F586),TRUE,FALSE)</formula>
    </cfRule>
  </conditionalFormatting>
  <conditionalFormatting sqref="C586:C2504">
    <cfRule type="expression" dxfId="45" priority="39" stopIfTrue="1">
      <formula>IF(AND(B586&lt;&gt;"",C586=""),TRUE)</formula>
    </cfRule>
  </conditionalFormatting>
  <conditionalFormatting sqref="B21:B585 B5:B19">
    <cfRule type="expression" dxfId="44" priority="18" stopIfTrue="1">
      <formula>IF(B5="",TRUE)</formula>
    </cfRule>
    <cfRule type="expression" dxfId="43" priority="21" stopIfTrue="1">
      <formula>IF(AND(COUNTIF(MetalSmelter,B5&amp;C5)=0,LEN(C5)&gt;0),TRUE,FALSE)</formula>
    </cfRule>
  </conditionalFormatting>
  <conditionalFormatting sqref="D25:D585">
    <cfRule type="expression" dxfId="42" priority="15" stopIfTrue="1">
      <formula>IF(AND(LEN($C25)&gt;0,($C25&lt;&gt;"Smelter Not Listed")),1,0)</formula>
    </cfRule>
    <cfRule type="expression" dxfId="41" priority="22" stopIfTrue="1">
      <formula>IF(AND(D25="",$C25=$X$4),TRUE)</formula>
    </cfRule>
    <cfRule type="expression" dxfId="40" priority="23" stopIfTrue="1">
      <formula>IF(FIND("!",D25),TRUE)</formula>
    </cfRule>
  </conditionalFormatting>
  <conditionalFormatting sqref="G5:G19 G21:G585">
    <cfRule type="expression" dxfId="39" priority="24" stopIfTrue="1">
      <formula>IF(FIND("Enter smelter details",G5),TRUE)</formula>
    </cfRule>
  </conditionalFormatting>
  <conditionalFormatting sqref="R5:R585 E5:E19 E21:E585">
    <cfRule type="expression" dxfId="38" priority="19" stopIfTrue="1">
      <formula>IF(AND(E5="",$C5=$X$4),TRUE)</formula>
    </cfRule>
    <cfRule type="expression" dxfId="37" priority="20" stopIfTrue="1">
      <formula>IF(FIND("!",E5),TRUE)</formula>
    </cfRule>
  </conditionalFormatting>
  <conditionalFormatting sqref="F5:F19 F21:F585">
    <cfRule type="expression" dxfId="36" priority="17" stopIfTrue="1">
      <formula>IF(AND(LEN($A5)&gt;0,$A5&lt;&gt;$F5),TRUE,FALSE)</formula>
    </cfRule>
  </conditionalFormatting>
  <conditionalFormatting sqref="C21:C585 C5:C19">
    <cfRule type="expression" dxfId="35" priority="16" stopIfTrue="1">
      <formula>IF(AND(B5&lt;&gt;"",C5=""),TRUE)</formula>
    </cfRule>
  </conditionalFormatting>
  <conditionalFormatting sqref="B20">
    <cfRule type="expression" dxfId="34" priority="8" stopIfTrue="1">
      <formula>IF(B20="",TRUE)</formula>
    </cfRule>
    <cfRule type="expression" dxfId="33" priority="11" stopIfTrue="1">
      <formula>IF(AND(COUNTIF(MetalSmelter,B20&amp;C20)=0,LEN(C20)&gt;0),TRUE,FALSE)</formula>
    </cfRule>
  </conditionalFormatting>
  <conditionalFormatting sqref="G20">
    <cfRule type="expression" dxfId="32" priority="14" stopIfTrue="1">
      <formula>IF(FIND("Enter smelter details",G20),TRUE)</formula>
    </cfRule>
  </conditionalFormatting>
  <conditionalFormatting sqref="E20">
    <cfRule type="expression" dxfId="31" priority="9" stopIfTrue="1">
      <formula>IF(AND(E20="",$C20=$X$4),TRUE)</formula>
    </cfRule>
    <cfRule type="expression" dxfId="30" priority="10" stopIfTrue="1">
      <formula>IF(FIND("!",E20),TRUE)</formula>
    </cfRule>
  </conditionalFormatting>
  <conditionalFormatting sqref="F20">
    <cfRule type="expression" dxfId="29" priority="7" stopIfTrue="1">
      <formula>IF(AND(LEN($A20)&gt;0,$A20&lt;&gt;$F20),TRUE,FALSE)</formula>
    </cfRule>
  </conditionalFormatting>
  <conditionalFormatting sqref="C20">
    <cfRule type="expression" dxfId="28" priority="6" stopIfTrue="1">
      <formula>IF(AND(B20&lt;&gt;"",C20=""),TRUE)</formula>
    </cfRule>
  </conditionalFormatting>
  <conditionalFormatting sqref="A5">
    <cfRule type="expression" dxfId="27" priority="4" stopIfTrue="1">
      <formula>IF(AND(LEN($A5)&gt;0,$A5&lt;&gt;$F5),TRUE,FALSE)</formula>
    </cfRule>
  </conditionalFormatting>
  <conditionalFormatting sqref="D5:D8">
    <cfRule type="expression" dxfId="26" priority="3" stopIfTrue="1">
      <formula>IF(AND(C5&lt;&gt;"",D5=""),TRUE)</formula>
    </cfRule>
  </conditionalFormatting>
  <conditionalFormatting sqref="D21:D24 D9:D19">
    <cfRule type="expression" dxfId="25" priority="2" stopIfTrue="1">
      <formula>IF(AND(C9&lt;&gt;"",D9=""),TRUE)</formula>
    </cfRule>
  </conditionalFormatting>
  <conditionalFormatting sqref="D20">
    <cfRule type="expression" dxfId="24" priority="1" stopIfTrue="1">
      <formula>IF(AND(C20&lt;&gt;"",D20=""),TRUE)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74" activePane="bottomRight" state="frozen"/>
      <selection activeCell="A4" sqref="A4"/>
      <selection pane="topRight" activeCell="A4" sqref="A4"/>
      <selection pane="bottomLeft" activeCell="A4" sqref="A4"/>
      <selection pane="bottomRight" activeCell="D49" sqref="D49"/>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Tower Semiconductor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Moti Amsalem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cammmh@Towersemi.com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972-4-6506259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Moti Amsalem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cammmh@Towersemi.com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44292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https://towersemi.com/about/corporate-social-responsibility-esg/social-supply-chain/</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0</v>
      </c>
      <c r="G66" s="81">
        <f ca="1">IF(AND(COUNTIF(SmelterIdetifiedForMetal,"Tin")&gt;0,COUNTIF('Smelter List'!AB$5:AB$2504,"Tin?*")&gt;0),0,1)</f>
        <v>1</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9" sqref="D9"/>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921</v>
      </c>
      <c r="C4" s="449"/>
      <c r="D4" s="449"/>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2020 Responsible Minerals Initiative. All rights reserved.</v>
      </c>
      <c r="C1001" s="452"/>
      <c r="D1001" s="452"/>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Shahar Orit</cp:lastModifiedBy>
  <cp:lastPrinted>2015-04-21T20:47:43Z</cp:lastPrinted>
  <dcterms:created xsi:type="dcterms:W3CDTF">2010-06-21T21:00:23Z</dcterms:created>
  <dcterms:modified xsi:type="dcterms:W3CDTF">2021-04-07T07:25:22Z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